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6.xml" ContentType="application/vnd.openxmlformats-officedocument.drawingml.chartshapes+xml"/>
  <Override PartName="/xl/charts/chart2.xml" ContentType="application/vnd.openxmlformats-officedocument.drawingml.chart+xml"/>
  <Override PartName="/xl/drawings/drawing7.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3.xml" ContentType="application/vnd.openxmlformats-officedocument.spreadsheetml.comments+xml"/>
  <Override PartName="/xl/drawings/drawing16.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7.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comments4.xml" ContentType="application/vnd.openxmlformats-officedocument.spreadsheetml.comments+xml"/>
  <Override PartName="/xl/drawings/drawing20.xml" ContentType="application/vnd.openxmlformats-officedocument.drawing+xml"/>
  <Override PartName="/xl/comments5.xml" ContentType="application/vnd.openxmlformats-officedocument.spreadsheetml.comments+xml"/>
  <Override PartName="/xl/drawings/drawing21.xml" ContentType="application/vnd.openxmlformats-officedocument.drawing+xml"/>
  <Override PartName="/xl/comments6.xml" ContentType="application/vnd.openxmlformats-officedocument.spreadsheetml.comments+xml"/>
  <Override PartName="/xl/drawings/drawing22.xml" ContentType="application/vnd.openxmlformats-officedocument.drawing+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5.xml" ContentType="application/vnd.openxmlformats-officedocument.drawing+xml"/>
  <Override PartName="/xl/ctrlProps/ctrlProp1.xml" ContentType="application/vnd.ms-excel.controlproperties+xml"/>
  <Override PartName="/xl/comments8.xml" ContentType="application/vnd.openxmlformats-officedocument.spreadsheetml.comments+xml"/>
  <Override PartName="/xl/drawings/drawing26.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9.xml" ContentType="application/vnd.openxmlformats-officedocument.spreadsheetml.comments+xml"/>
  <Override PartName="/xl/drawings/drawing27.xml" ContentType="application/vnd.openxmlformats-officedocument.drawing+xml"/>
  <Override PartName="/xl/ctrlProps/ctrlProp4.xml" ContentType="application/vnd.ms-excel.controlproperties+xml"/>
  <Override PartName="/xl/comments10.xml" ContentType="application/vnd.openxmlformats-officedocument.spreadsheetml.comments+xml"/>
  <Override PartName="/xl/drawings/drawing28.xml" ContentType="application/vnd.openxmlformats-officedocument.drawing+xml"/>
  <Override PartName="/xl/ctrlProps/ctrlProp5.xml" ContentType="application/vnd.ms-excel.controlproperties+xml"/>
  <Override PartName="/xl/comments11.xml" ContentType="application/vnd.openxmlformats-officedocument.spreadsheetml.comments+xml"/>
  <Override PartName="/xl/drawings/drawing29.xml" ContentType="application/vnd.openxmlformats-officedocument.drawing+xml"/>
  <Override PartName="/xl/charts/chart28.xml" ContentType="application/vnd.openxmlformats-officedocument.drawingml.chart+xml"/>
  <Override PartName="/xl/charts/style2.xml" ContentType="application/vnd.ms-office.chartstyle+xml"/>
  <Override PartName="/xl/charts/colors2.xml" ContentType="application/vnd.ms-office.chartcolorstyle+xml"/>
  <Override PartName="/xl/charts/chart29.xml" ContentType="application/vnd.openxmlformats-officedocument.drawingml.chart+xml"/>
  <Override PartName="/xl/charts/style3.xml" ContentType="application/vnd.ms-office.chartstyle+xml"/>
  <Override PartName="/xl/charts/colors3.xml" ContentType="application/vnd.ms-office.chartcolorstyle+xml"/>
  <Override PartName="/xl/charts/chart30.xml" ContentType="application/vnd.openxmlformats-officedocument.drawingml.chart+xml"/>
  <Override PartName="/xl/charts/style4.xml" ContentType="application/vnd.ms-office.chartstyle+xml"/>
  <Override PartName="/xl/charts/colors4.xml" ContentType="application/vnd.ms-office.chartcolorstyle+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ESPECIALIZACIÓN GERENCIA FINANCIERA\TRABAJO DE GRADO\"/>
    </mc:Choice>
  </mc:AlternateContent>
  <bookViews>
    <workbookView xWindow="0" yWindow="0" windowWidth="20490" windowHeight="7755" tabRatio="929" firstSheet="36" activeTab="41"/>
  </bookViews>
  <sheets>
    <sheet name="Indice" sheetId="8" r:id="rId1"/>
    <sheet name="Descripción de la compañía" sheetId="13" r:id="rId2"/>
    <sheet name="Informe del Sector " sheetId="1" r:id="rId3"/>
    <sheet name="Empresa respecto al Sector " sheetId="7" r:id="rId4"/>
    <sheet name="Estados Financieros" sheetId="6" r:id="rId5"/>
    <sheet name="Dupont" sheetId="65" r:id="rId6"/>
    <sheet name="KWNO" sheetId="61" r:id="rId7"/>
    <sheet name="Comparación de indicadores" sheetId="3" r:id="rId8"/>
    <sheet name="VIABILIDAD" sheetId="32" r:id="rId9"/>
    <sheet name="TASA DESCUENTO" sheetId="66" state="hidden" r:id="rId10"/>
    <sheet name="Anexo 1 - Balance" sheetId="9" r:id="rId11"/>
    <sheet name="Anexo 2 - ER" sheetId="10" r:id="rId12"/>
    <sheet name="Anexo 3 - FC" sheetId="11" r:id="rId13"/>
    <sheet name="Anexo 4 - FCL" sheetId="12" r:id="rId14"/>
    <sheet name="Anexo - Balance Sector " sheetId="15" r:id="rId15"/>
    <sheet name="Anexo - ER Sector " sheetId="16" r:id="rId16"/>
    <sheet name="Anexo - FC Sector" sheetId="17" r:id="rId17"/>
    <sheet name="Viabilidad Accionista" sheetId="18" r:id="rId18"/>
    <sheet name="Gráficas 2013" sheetId="19" r:id="rId19"/>
    <sheet name="Gráficas 2014" sheetId="31" r:id="rId20"/>
    <sheet name="CV EMPRESA" sheetId="48" r:id="rId21"/>
    <sheet name="Distribución DIVD" sheetId="35" r:id="rId22"/>
    <sheet name="ALTMAN" sheetId="36" r:id="rId23"/>
    <sheet name="Sanidad Financiera" sheetId="37" r:id="rId24"/>
    <sheet name="CONAN" sheetId="38" r:id="rId25"/>
    <sheet name="FER" sheetId="39" r:id="rId26"/>
    <sheet name="FUENTES &amp; USOS" sheetId="40" r:id="rId27"/>
    <sheet name="FLUJO DE FONDOS" sheetId="41" r:id="rId28"/>
    <sheet name="Proyección Ventas" sheetId="42" r:id="rId29"/>
    <sheet name="Proyección Flujos de Caja" sheetId="43" r:id="rId30"/>
    <sheet name="Cost deu. y Prove." sheetId="44" r:id="rId31"/>
    <sheet name="Costo patrimon." sheetId="45" r:id="rId32"/>
    <sheet name="WACC" sheetId="46" r:id="rId33"/>
    <sheet name="Sensibilización WACC" sheetId="59" r:id="rId34"/>
    <sheet name="Betas" sheetId="47" r:id="rId35"/>
    <sheet name="GAF" sheetId="49" r:id="rId36"/>
    <sheet name="Costos Ocultos" sheetId="51" r:id="rId37"/>
    <sheet name="Base de Datos" sheetId="52" r:id="rId38"/>
    <sheet name="Supuestos" sheetId="55" r:id="rId39"/>
    <sheet name="Modelo de Regresión" sheetId="53" r:id="rId40"/>
    <sheet name="Ventas y EBITDA" sheetId="54" r:id="rId41"/>
    <sheet name="Estados Financieros (P)" sheetId="57" r:id="rId42"/>
    <sheet name="DFC" sheetId="60" r:id="rId43"/>
    <sheet name="Modelo Múltiplos" sheetId="63" r:id="rId44"/>
    <sheet name="EMBI+" sheetId="58" r:id="rId45"/>
    <sheet name="COLCAP" sheetId="64" r:id="rId46"/>
  </sheets>
  <externalReferences>
    <externalReference r:id="rId47"/>
    <externalReference r:id="rId48"/>
    <externalReference r:id="rId49"/>
    <externalReference r:id="rId50"/>
    <externalReference r:id="rId51"/>
    <externalReference r:id="rId52"/>
    <externalReference r:id="rId53"/>
    <externalReference r:id="rId54"/>
  </externalReferences>
  <definedNames>
    <definedName name="_xlnm._FilterDatabase" localSheetId="10" hidden="1">'Anexo 1 - Balance'!$A$2:$N$239</definedName>
    <definedName name="_ftnref1" localSheetId="2">'Informe del Sector '!$A$62</definedName>
    <definedName name="solver_eng" localSheetId="44" hidden="1">1</definedName>
    <definedName name="solver_neg" localSheetId="44" hidden="1">1</definedName>
    <definedName name="solver_num" localSheetId="44" hidden="1">0</definedName>
    <definedName name="solver_opt" localSheetId="44" hidden="1">'EMBI+'!$D$779</definedName>
    <definedName name="solver_typ" localSheetId="44" hidden="1">1</definedName>
    <definedName name="solver_val" localSheetId="44" hidden="1">0</definedName>
    <definedName name="solver_ver" localSheetId="44" hidden="1">3</definedName>
  </definedNames>
  <calcPr calcId="152511" iterate="1"/>
</workbook>
</file>

<file path=xl/calcChain.xml><?xml version="1.0" encoding="utf-8"?>
<calcChain xmlns="http://schemas.openxmlformats.org/spreadsheetml/2006/main">
  <c r="B7" i="46" l="1"/>
  <c r="B6" i="46"/>
  <c r="I7" i="32"/>
  <c r="H7" i="32"/>
  <c r="G7" i="32"/>
  <c r="F7" i="32"/>
  <c r="E7" i="32"/>
  <c r="D7" i="32"/>
  <c r="C7" i="32"/>
  <c r="B7" i="32"/>
  <c r="F82" i="66"/>
  <c r="F75" i="66"/>
  <c r="F74" i="66"/>
  <c r="F70" i="66"/>
  <c r="F61" i="66"/>
  <c r="T54" i="66"/>
  <c r="S54" i="66"/>
  <c r="K54" i="66"/>
  <c r="J54" i="66"/>
  <c r="I54" i="66"/>
  <c r="F56" i="66" s="1"/>
  <c r="I60" i="66" s="1"/>
  <c r="K60" i="66" s="1"/>
  <c r="U53" i="66"/>
  <c r="V53" i="66" s="1"/>
  <c r="L53" i="66"/>
  <c r="V52" i="66"/>
  <c r="U52" i="66"/>
  <c r="L52" i="66"/>
  <c r="U51" i="66"/>
  <c r="V51" i="66" s="1"/>
  <c r="L51" i="66"/>
  <c r="V50" i="66"/>
  <c r="U50" i="66"/>
  <c r="L50" i="66"/>
  <c r="U49" i="66"/>
  <c r="V49" i="66" s="1"/>
  <c r="L49" i="66"/>
  <c r="V48" i="66"/>
  <c r="U48" i="66"/>
  <c r="L48" i="66"/>
  <c r="U47" i="66"/>
  <c r="V47" i="66" s="1"/>
  <c r="L47" i="66"/>
  <c r="V46" i="66"/>
  <c r="U46" i="66"/>
  <c r="L46" i="66"/>
  <c r="U45" i="66"/>
  <c r="V45" i="66" s="1"/>
  <c r="L45" i="66"/>
  <c r="V44" i="66"/>
  <c r="U44" i="66"/>
  <c r="L44" i="66"/>
  <c r="L54" i="66" s="1"/>
  <c r="F32" i="66"/>
  <c r="F30" i="66"/>
  <c r="F34" i="66" s="1"/>
  <c r="F28" i="66"/>
  <c r="F36" i="66" s="1"/>
  <c r="F80" i="66" s="1"/>
  <c r="K63" i="66" l="1"/>
  <c r="F72" i="66"/>
  <c r="F71" i="66" s="1"/>
  <c r="F79" i="66" s="1"/>
  <c r="F81" i="66" s="1"/>
  <c r="F83" i="66" s="1"/>
  <c r="V54" i="66"/>
  <c r="U54" i="66"/>
  <c r="P56" i="66" s="1"/>
  <c r="D7" i="65" l="1"/>
  <c r="J7" i="65"/>
  <c r="I7" i="65"/>
  <c r="H7" i="65"/>
  <c r="E7" i="65"/>
  <c r="C7" i="65"/>
  <c r="C34" i="45"/>
  <c r="C42" i="45" s="1"/>
  <c r="C21" i="45" s="1"/>
  <c r="C22" i="45" s="1"/>
  <c r="C31" i="45" s="1"/>
  <c r="C27" i="44"/>
  <c r="C28" i="44" s="1"/>
  <c r="D27" i="44"/>
  <c r="D28" i="44" s="1"/>
  <c r="E27" i="44"/>
  <c r="E28" i="44"/>
  <c r="F27" i="44"/>
  <c r="F28" i="44" s="1"/>
  <c r="G27" i="44"/>
  <c r="G28" i="44"/>
  <c r="H27" i="44"/>
  <c r="H28" i="44" s="1"/>
  <c r="I27" i="44"/>
  <c r="I28" i="44"/>
  <c r="C16" i="63"/>
  <c r="C30" i="45"/>
  <c r="C25" i="45"/>
  <c r="C26" i="45"/>
  <c r="C27" i="45"/>
  <c r="C24" i="45"/>
  <c r="C20" i="45"/>
  <c r="I42" i="58"/>
  <c r="J39" i="58"/>
  <c r="J38" i="58"/>
  <c r="J37" i="58"/>
  <c r="J36" i="58"/>
  <c r="J35" i="58"/>
  <c r="J34" i="58"/>
  <c r="J33" i="58"/>
  <c r="J32" i="58"/>
  <c r="J31" i="58"/>
  <c r="J30" i="58"/>
  <c r="J29" i="58"/>
  <c r="J28" i="58"/>
  <c r="J27" i="58"/>
  <c r="J26" i="58"/>
  <c r="J25" i="58"/>
  <c r="J24" i="58"/>
  <c r="J23" i="58"/>
  <c r="J22" i="58"/>
  <c r="J21" i="58"/>
  <c r="J20" i="58"/>
  <c r="J19" i="58"/>
  <c r="J18" i="58"/>
  <c r="J17" i="58"/>
  <c r="J16" i="58"/>
  <c r="J15" i="58"/>
  <c r="J14" i="58"/>
  <c r="J13" i="58"/>
  <c r="J12" i="58"/>
  <c r="J11" i="58"/>
  <c r="J10" i="58"/>
  <c r="J9" i="58"/>
  <c r="J8" i="58"/>
  <c r="J7" i="58"/>
  <c r="J6" i="58"/>
  <c r="J5" i="58"/>
  <c r="J4" i="58"/>
  <c r="I39" i="58"/>
  <c r="I38" i="58"/>
  <c r="I37" i="58"/>
  <c r="I36" i="58"/>
  <c r="I35" i="58"/>
  <c r="I34" i="58"/>
  <c r="I33" i="58"/>
  <c r="I32" i="58"/>
  <c r="I31" i="58"/>
  <c r="I30" i="58"/>
  <c r="I29" i="58"/>
  <c r="I28" i="58"/>
  <c r="I27" i="58"/>
  <c r="I26" i="58"/>
  <c r="I25" i="58"/>
  <c r="I24" i="58"/>
  <c r="I23" i="58"/>
  <c r="I22" i="58"/>
  <c r="I21" i="58"/>
  <c r="I20" i="58"/>
  <c r="I19" i="58"/>
  <c r="I18" i="58"/>
  <c r="I17" i="58"/>
  <c r="I16" i="58"/>
  <c r="I15" i="58"/>
  <c r="I14" i="58"/>
  <c r="I13" i="58"/>
  <c r="I12" i="58"/>
  <c r="I11" i="58"/>
  <c r="I10" i="58"/>
  <c r="I9" i="58"/>
  <c r="I8" i="58"/>
  <c r="I7" i="58"/>
  <c r="I6" i="58"/>
  <c r="I5" i="58"/>
  <c r="I4" i="58"/>
  <c r="H38" i="58"/>
  <c r="H37" i="58"/>
  <c r="H36" i="58"/>
  <c r="H35" i="58"/>
  <c r="H34" i="58"/>
  <c r="H33" i="58"/>
  <c r="H32" i="58"/>
  <c r="H31" i="58"/>
  <c r="H30" i="58"/>
  <c r="H29" i="58"/>
  <c r="H28" i="58"/>
  <c r="H27" i="58"/>
  <c r="H26" i="58"/>
  <c r="H25" i="58"/>
  <c r="H24" i="58"/>
  <c r="H23" i="58"/>
  <c r="H22" i="58"/>
  <c r="H21" i="58"/>
  <c r="H20" i="58"/>
  <c r="H19" i="58"/>
  <c r="H18" i="58"/>
  <c r="H17" i="58"/>
  <c r="H16" i="58"/>
  <c r="H15" i="58"/>
  <c r="H14" i="58"/>
  <c r="H13" i="58"/>
  <c r="H12" i="58"/>
  <c r="H11" i="58"/>
  <c r="H10" i="58"/>
  <c r="H9" i="58"/>
  <c r="H8" i="58"/>
  <c r="H7" i="58"/>
  <c r="H6" i="58"/>
  <c r="H5" i="58"/>
  <c r="H4" i="58"/>
  <c r="G39" i="58"/>
  <c r="C1210" i="58"/>
  <c r="C1209" i="58"/>
  <c r="C1208" i="58"/>
  <c r="C1207" i="58"/>
  <c r="C1206" i="58"/>
  <c r="C1205" i="58"/>
  <c r="C1204" i="58"/>
  <c r="C1203" i="58"/>
  <c r="C1202" i="58"/>
  <c r="C1201" i="58"/>
  <c r="C1200" i="58"/>
  <c r="C1199" i="58"/>
  <c r="C1198" i="58"/>
  <c r="C1197" i="58"/>
  <c r="C1196" i="58"/>
  <c r="C1195" i="58"/>
  <c r="C1194" i="58"/>
  <c r="C1193" i="58"/>
  <c r="C1192" i="58"/>
  <c r="C1191" i="58"/>
  <c r="C1190" i="58"/>
  <c r="C1189" i="58"/>
  <c r="C1188" i="58"/>
  <c r="C1187" i="58"/>
  <c r="C1186" i="58"/>
  <c r="C1185" i="58"/>
  <c r="C1184" i="58"/>
  <c r="C1183" i="58"/>
  <c r="C1182" i="58"/>
  <c r="C1181" i="58"/>
  <c r="C1180" i="58"/>
  <c r="C1179" i="58"/>
  <c r="C1178" i="58"/>
  <c r="C1177" i="58"/>
  <c r="C1176" i="58"/>
  <c r="C1175" i="58"/>
  <c r="C1174" i="58"/>
  <c r="C1173" i="58"/>
  <c r="C1172" i="58"/>
  <c r="C1171" i="58"/>
  <c r="C1170" i="58"/>
  <c r="C1169" i="58"/>
  <c r="C1168" i="58"/>
  <c r="C1167" i="58"/>
  <c r="C1166" i="58"/>
  <c r="C1165" i="58"/>
  <c r="C1164" i="58"/>
  <c r="C1163" i="58"/>
  <c r="C1162" i="58"/>
  <c r="C1161" i="58"/>
  <c r="C1160" i="58"/>
  <c r="C1159" i="58"/>
  <c r="C1158" i="58"/>
  <c r="C1157" i="58"/>
  <c r="C1156" i="58"/>
  <c r="C1155" i="58"/>
  <c r="C1154" i="58"/>
  <c r="C1153" i="58"/>
  <c r="C1152" i="58"/>
  <c r="C1151" i="58"/>
  <c r="C1150" i="58"/>
  <c r="C1149" i="58"/>
  <c r="C1148" i="58"/>
  <c r="C1147" i="58"/>
  <c r="C1146" i="58"/>
  <c r="C1145" i="58"/>
  <c r="C1144" i="58"/>
  <c r="C1143" i="58"/>
  <c r="C1142" i="58"/>
  <c r="C1141" i="58"/>
  <c r="C1140" i="58"/>
  <c r="C1139" i="58"/>
  <c r="C1138" i="58"/>
  <c r="C1137" i="58"/>
  <c r="C1136" i="58"/>
  <c r="C1135" i="58"/>
  <c r="C1134" i="58"/>
  <c r="C1133" i="58"/>
  <c r="C1132" i="58"/>
  <c r="C1131" i="58"/>
  <c r="C1130" i="58"/>
  <c r="C1129" i="58"/>
  <c r="C1128" i="58"/>
  <c r="C1127" i="58"/>
  <c r="C1126" i="58"/>
  <c r="C1125" i="58"/>
  <c r="C1124" i="58"/>
  <c r="C1123" i="58"/>
  <c r="C1122" i="58"/>
  <c r="C1121" i="58"/>
  <c r="C1120" i="58"/>
  <c r="C1119" i="58"/>
  <c r="C1118" i="58"/>
  <c r="C1117" i="58"/>
  <c r="C1116" i="58"/>
  <c r="C1115" i="58"/>
  <c r="C1114" i="58"/>
  <c r="C1113" i="58"/>
  <c r="C1112" i="58"/>
  <c r="C1111" i="58"/>
  <c r="C1110" i="58"/>
  <c r="C1109" i="58"/>
  <c r="C1108" i="58"/>
  <c r="C1107" i="58"/>
  <c r="C1106" i="58"/>
  <c r="C1105" i="58"/>
  <c r="C1104" i="58"/>
  <c r="C1103" i="58"/>
  <c r="C1102" i="58"/>
  <c r="C1101" i="58"/>
  <c r="C1100" i="58"/>
  <c r="C1099" i="58"/>
  <c r="C1098" i="58"/>
  <c r="C1097" i="58"/>
  <c r="C1096" i="58"/>
  <c r="C1095" i="58"/>
  <c r="C1094" i="58"/>
  <c r="C1093" i="58"/>
  <c r="C1092" i="58"/>
  <c r="C1091" i="58"/>
  <c r="C1090" i="58"/>
  <c r="C1089" i="58"/>
  <c r="C1088" i="58"/>
  <c r="C1087" i="58"/>
  <c r="C1086" i="58"/>
  <c r="C1085" i="58"/>
  <c r="C1084" i="58"/>
  <c r="C1083" i="58"/>
  <c r="C1082" i="58"/>
  <c r="C1081" i="58"/>
  <c r="C1080" i="58"/>
  <c r="C1079" i="58"/>
  <c r="C1078" i="58"/>
  <c r="C1077" i="58"/>
  <c r="C1076" i="58"/>
  <c r="C1075" i="58"/>
  <c r="C1074" i="58"/>
  <c r="C1073" i="58"/>
  <c r="C1072" i="58"/>
  <c r="C1071" i="58"/>
  <c r="C1070" i="58"/>
  <c r="C1069" i="58"/>
  <c r="C1068" i="58"/>
  <c r="C1067" i="58"/>
  <c r="C1066" i="58"/>
  <c r="C1065" i="58"/>
  <c r="C1064" i="58"/>
  <c r="C1063" i="58"/>
  <c r="C1062" i="58"/>
  <c r="C1061" i="58"/>
  <c r="C1060" i="58"/>
  <c r="C1059" i="58"/>
  <c r="C1058" i="58"/>
  <c r="C1057" i="58"/>
  <c r="C1056" i="58"/>
  <c r="C1055" i="58"/>
  <c r="C1054" i="58"/>
  <c r="C1053" i="58"/>
  <c r="C1052" i="58"/>
  <c r="C1051" i="58"/>
  <c r="C1050" i="58"/>
  <c r="C1049" i="58"/>
  <c r="C1048" i="58"/>
  <c r="C1047" i="58"/>
  <c r="C1046" i="58"/>
  <c r="C1045" i="58"/>
  <c r="C1044" i="58"/>
  <c r="C1043" i="58"/>
  <c r="C1042" i="58"/>
  <c r="C1041" i="58"/>
  <c r="C1040" i="58"/>
  <c r="C1039" i="58"/>
  <c r="C1038" i="58"/>
  <c r="C1037" i="58"/>
  <c r="C1036" i="58"/>
  <c r="C1035" i="58"/>
  <c r="C1034" i="58"/>
  <c r="C1033" i="58"/>
  <c r="C1032" i="58"/>
  <c r="C1031" i="58"/>
  <c r="C1030" i="58"/>
  <c r="C1029" i="58"/>
  <c r="C1028" i="58"/>
  <c r="C1027" i="58"/>
  <c r="C1026" i="58"/>
  <c r="C1025" i="58"/>
  <c r="C1024" i="58"/>
  <c r="C1023" i="58"/>
  <c r="C1022" i="58"/>
  <c r="C1021" i="58"/>
  <c r="C1020" i="58"/>
  <c r="C1019" i="58"/>
  <c r="C1018" i="58"/>
  <c r="C1017" i="58"/>
  <c r="C1016" i="58"/>
  <c r="C1015" i="58"/>
  <c r="C1014" i="58"/>
  <c r="C1013" i="58"/>
  <c r="C1012" i="58"/>
  <c r="C1011" i="58"/>
  <c r="C1010" i="58"/>
  <c r="C1009" i="58"/>
  <c r="C1008" i="58"/>
  <c r="C1007" i="58"/>
  <c r="C1006" i="58"/>
  <c r="C1005" i="58"/>
  <c r="C1004" i="58"/>
  <c r="C1003" i="58"/>
  <c r="C1002" i="58"/>
  <c r="C1001" i="58"/>
  <c r="C1000" i="58"/>
  <c r="C999" i="58"/>
  <c r="C998" i="58"/>
  <c r="C997" i="58"/>
  <c r="C996" i="58"/>
  <c r="C995" i="58"/>
  <c r="C994" i="58"/>
  <c r="C993" i="58"/>
  <c r="C992" i="58"/>
  <c r="C991" i="58"/>
  <c r="C990" i="58"/>
  <c r="C989" i="58"/>
  <c r="C988" i="58"/>
  <c r="C987" i="58"/>
  <c r="C986" i="58"/>
  <c r="C985" i="58"/>
  <c r="C984" i="58"/>
  <c r="C983" i="58"/>
  <c r="C982" i="58"/>
  <c r="C981" i="58"/>
  <c r="C980" i="58"/>
  <c r="C979" i="58"/>
  <c r="C978" i="58"/>
  <c r="C977" i="58"/>
  <c r="C976" i="58"/>
  <c r="C975" i="58"/>
  <c r="C974" i="58"/>
  <c r="C973" i="58"/>
  <c r="C972" i="58"/>
  <c r="C971" i="58"/>
  <c r="C970" i="58"/>
  <c r="C969" i="58"/>
  <c r="C968" i="58"/>
  <c r="C967" i="58"/>
  <c r="C966" i="58"/>
  <c r="C965" i="58"/>
  <c r="C964" i="58"/>
  <c r="C963" i="58"/>
  <c r="C962" i="58"/>
  <c r="C961" i="58"/>
  <c r="C960" i="58"/>
  <c r="C959" i="58"/>
  <c r="C958" i="58"/>
  <c r="C957" i="58"/>
  <c r="C956" i="58"/>
  <c r="C955" i="58"/>
  <c r="C954" i="58"/>
  <c r="C953" i="58"/>
  <c r="C952" i="58"/>
  <c r="C951" i="58"/>
  <c r="C950" i="58"/>
  <c r="C949" i="58"/>
  <c r="C948" i="58"/>
  <c r="C947" i="58"/>
  <c r="C946" i="58"/>
  <c r="C945" i="58"/>
  <c r="C944" i="58"/>
  <c r="C943" i="58"/>
  <c r="C942" i="58"/>
  <c r="C941" i="58"/>
  <c r="C940" i="58"/>
  <c r="C939" i="58"/>
  <c r="C938" i="58"/>
  <c r="C937" i="58"/>
  <c r="C936" i="58"/>
  <c r="C935" i="58"/>
  <c r="C934" i="58"/>
  <c r="C933" i="58"/>
  <c r="C932" i="58"/>
  <c r="C931" i="58"/>
  <c r="C930" i="58"/>
  <c r="C929" i="58"/>
  <c r="C928" i="58"/>
  <c r="C927" i="58"/>
  <c r="C926" i="58"/>
  <c r="C925" i="58"/>
  <c r="C924" i="58"/>
  <c r="C923" i="58"/>
  <c r="C922" i="58"/>
  <c r="C921" i="58"/>
  <c r="C920" i="58"/>
  <c r="C919" i="58"/>
  <c r="C918" i="58"/>
  <c r="C917" i="58"/>
  <c r="C916" i="58"/>
  <c r="C915" i="58"/>
  <c r="C914" i="58"/>
  <c r="C913" i="58"/>
  <c r="C912" i="58"/>
  <c r="C911" i="58"/>
  <c r="C910" i="58"/>
  <c r="C909" i="58"/>
  <c r="C908" i="58"/>
  <c r="C907" i="58"/>
  <c r="C906" i="58"/>
  <c r="C905" i="58"/>
  <c r="C904" i="58"/>
  <c r="C903" i="58"/>
  <c r="C902" i="58"/>
  <c r="C901" i="58"/>
  <c r="C900" i="58"/>
  <c r="C899" i="58"/>
  <c r="C898" i="58"/>
  <c r="C897" i="58"/>
  <c r="C896" i="58"/>
  <c r="C895" i="58"/>
  <c r="C894" i="58"/>
  <c r="C893" i="58"/>
  <c r="C892" i="58"/>
  <c r="C891" i="58"/>
  <c r="C890" i="58"/>
  <c r="C889" i="58"/>
  <c r="C888" i="58"/>
  <c r="C887" i="58"/>
  <c r="C886" i="58"/>
  <c r="C885" i="58"/>
  <c r="C884" i="58"/>
  <c r="C883" i="58"/>
  <c r="C882" i="58"/>
  <c r="C881" i="58"/>
  <c r="C880" i="58"/>
  <c r="C879" i="58"/>
  <c r="C878" i="58"/>
  <c r="C877" i="58"/>
  <c r="C876" i="58"/>
  <c r="C875" i="58"/>
  <c r="C874" i="58"/>
  <c r="C873" i="58"/>
  <c r="C872" i="58"/>
  <c r="C871" i="58"/>
  <c r="C870" i="58"/>
  <c r="C869" i="58"/>
  <c r="C868" i="58"/>
  <c r="C867" i="58"/>
  <c r="C866" i="58"/>
  <c r="C865" i="58"/>
  <c r="C864" i="58"/>
  <c r="C863" i="58"/>
  <c r="C862" i="58"/>
  <c r="C861" i="58"/>
  <c r="C860" i="58"/>
  <c r="C859" i="58"/>
  <c r="C858" i="58"/>
  <c r="C857" i="58"/>
  <c r="C856" i="58"/>
  <c r="C855" i="58"/>
  <c r="C854" i="58"/>
  <c r="C853" i="58"/>
  <c r="C852" i="58"/>
  <c r="C851" i="58"/>
  <c r="C850" i="58"/>
  <c r="C849" i="58"/>
  <c r="C848" i="58"/>
  <c r="C847" i="58"/>
  <c r="C846" i="58"/>
  <c r="C845" i="58"/>
  <c r="C844" i="58"/>
  <c r="C843" i="58"/>
  <c r="C842" i="58"/>
  <c r="C841" i="58"/>
  <c r="C840" i="58"/>
  <c r="C839" i="58"/>
  <c r="C838" i="58"/>
  <c r="C837" i="58"/>
  <c r="C836" i="58"/>
  <c r="C835" i="58"/>
  <c r="C834" i="58"/>
  <c r="C833" i="58"/>
  <c r="C832" i="58"/>
  <c r="C831" i="58"/>
  <c r="C830" i="58"/>
  <c r="C829" i="58"/>
  <c r="C828" i="58"/>
  <c r="C827" i="58"/>
  <c r="C826" i="58"/>
  <c r="C825" i="58"/>
  <c r="C824" i="58"/>
  <c r="C823" i="58"/>
  <c r="C822" i="58"/>
  <c r="C821" i="58"/>
  <c r="C820" i="58"/>
  <c r="C819" i="58"/>
  <c r="C818" i="58"/>
  <c r="C817" i="58"/>
  <c r="C816" i="58"/>
  <c r="C815" i="58"/>
  <c r="C814" i="58"/>
  <c r="C813" i="58"/>
  <c r="C812" i="58"/>
  <c r="C811" i="58"/>
  <c r="C810" i="58"/>
  <c r="C809" i="58"/>
  <c r="C808" i="58"/>
  <c r="C807" i="58"/>
  <c r="C806" i="58"/>
  <c r="C805" i="58"/>
  <c r="C804" i="58"/>
  <c r="C803" i="58"/>
  <c r="C802" i="58"/>
  <c r="C801" i="58"/>
  <c r="C800" i="58"/>
  <c r="C799" i="58"/>
  <c r="C798" i="58"/>
  <c r="C797" i="58"/>
  <c r="C796" i="58"/>
  <c r="C795" i="58"/>
  <c r="C794" i="58"/>
  <c r="C793" i="58"/>
  <c r="C792" i="58"/>
  <c r="C791" i="58"/>
  <c r="C790" i="58"/>
  <c r="C789" i="58"/>
  <c r="C788" i="58"/>
  <c r="C787" i="58"/>
  <c r="C786" i="58"/>
  <c r="C785" i="58"/>
  <c r="C784" i="58"/>
  <c r="C783" i="58"/>
  <c r="C782" i="58"/>
  <c r="C781" i="58"/>
  <c r="C780" i="58"/>
  <c r="C779" i="58"/>
  <c r="C778" i="58"/>
  <c r="C777" i="58"/>
  <c r="C776" i="58"/>
  <c r="C775" i="58"/>
  <c r="C774" i="58"/>
  <c r="C773" i="58"/>
  <c r="C772" i="58"/>
  <c r="C771" i="58"/>
  <c r="C770" i="58"/>
  <c r="C769" i="58"/>
  <c r="C768" i="58"/>
  <c r="C767" i="58"/>
  <c r="C766" i="58"/>
  <c r="C765" i="58"/>
  <c r="C764" i="58"/>
  <c r="C763" i="58"/>
  <c r="C762" i="58"/>
  <c r="C761" i="58"/>
  <c r="C760" i="58"/>
  <c r="C759" i="58"/>
  <c r="C758" i="58"/>
  <c r="C757" i="58"/>
  <c r="C756" i="58"/>
  <c r="C755" i="58"/>
  <c r="C754" i="58"/>
  <c r="C753" i="58"/>
  <c r="C752" i="58"/>
  <c r="C751" i="58"/>
  <c r="C750" i="58"/>
  <c r="C749" i="58"/>
  <c r="C748" i="58"/>
  <c r="C747" i="58"/>
  <c r="C746" i="58"/>
  <c r="C745" i="58"/>
  <c r="C744" i="58"/>
  <c r="C743" i="58"/>
  <c r="C742" i="58"/>
  <c r="C741" i="58"/>
  <c r="C740" i="58"/>
  <c r="C739" i="58"/>
  <c r="C738" i="58"/>
  <c r="C737" i="58"/>
  <c r="C736" i="58"/>
  <c r="C735" i="58"/>
  <c r="C734" i="58"/>
  <c r="C733" i="58"/>
  <c r="C732" i="58"/>
  <c r="C731" i="58"/>
  <c r="C730" i="58"/>
  <c r="C729" i="58"/>
  <c r="C728" i="58"/>
  <c r="C727" i="58"/>
  <c r="C726" i="58"/>
  <c r="C725" i="58"/>
  <c r="C724" i="58"/>
  <c r="C723" i="58"/>
  <c r="C722" i="58"/>
  <c r="C721" i="58"/>
  <c r="C720" i="58"/>
  <c r="C719" i="58"/>
  <c r="C718" i="58"/>
  <c r="C717" i="58"/>
  <c r="C716" i="58"/>
  <c r="C715" i="58"/>
  <c r="C714" i="58"/>
  <c r="C713" i="58"/>
  <c r="C712" i="58"/>
  <c r="C711" i="58"/>
  <c r="C710" i="58"/>
  <c r="C709" i="58"/>
  <c r="C708" i="58"/>
  <c r="C707" i="58"/>
  <c r="C706" i="58"/>
  <c r="C705" i="58"/>
  <c r="C704" i="58"/>
  <c r="C703" i="58"/>
  <c r="C702" i="58"/>
  <c r="C701" i="58"/>
  <c r="C700" i="58"/>
  <c r="C699" i="58"/>
  <c r="C698" i="58"/>
  <c r="C697" i="58"/>
  <c r="C696" i="58"/>
  <c r="C695" i="58"/>
  <c r="C694" i="58"/>
  <c r="C693" i="58"/>
  <c r="C692" i="58"/>
  <c r="C691" i="58"/>
  <c r="C690" i="58"/>
  <c r="C689" i="58"/>
  <c r="C688" i="58"/>
  <c r="C687" i="58"/>
  <c r="C686" i="58"/>
  <c r="C685" i="58"/>
  <c r="C684" i="58"/>
  <c r="C683" i="58"/>
  <c r="C682" i="58"/>
  <c r="C681" i="58"/>
  <c r="C680" i="58"/>
  <c r="C679" i="58"/>
  <c r="C678" i="58"/>
  <c r="C677" i="58"/>
  <c r="C676" i="58"/>
  <c r="C675" i="58"/>
  <c r="C674" i="58"/>
  <c r="C673" i="58"/>
  <c r="C672" i="58"/>
  <c r="C671" i="58"/>
  <c r="C670" i="58"/>
  <c r="C669" i="58"/>
  <c r="C668" i="58"/>
  <c r="C667" i="58"/>
  <c r="C666" i="58"/>
  <c r="C665" i="58"/>
  <c r="C664" i="58"/>
  <c r="C663" i="58"/>
  <c r="C662" i="58"/>
  <c r="C661" i="58"/>
  <c r="C660" i="58"/>
  <c r="C659" i="58"/>
  <c r="C658" i="58"/>
  <c r="C657" i="58"/>
  <c r="C656" i="58"/>
  <c r="C655" i="58"/>
  <c r="C654" i="58"/>
  <c r="C653" i="58"/>
  <c r="C652" i="58"/>
  <c r="C651" i="58"/>
  <c r="C650" i="58"/>
  <c r="C649" i="58"/>
  <c r="C648" i="58"/>
  <c r="C647" i="58"/>
  <c r="C646" i="58"/>
  <c r="C645" i="58"/>
  <c r="C644" i="58"/>
  <c r="C643" i="58"/>
  <c r="C642" i="58"/>
  <c r="C641" i="58"/>
  <c r="C640" i="58"/>
  <c r="C639" i="58"/>
  <c r="C638" i="58"/>
  <c r="C637" i="58"/>
  <c r="C636" i="58"/>
  <c r="C635" i="58"/>
  <c r="C634" i="58"/>
  <c r="C633" i="58"/>
  <c r="C632" i="58"/>
  <c r="C631" i="58"/>
  <c r="C630" i="58"/>
  <c r="C629" i="58"/>
  <c r="C628" i="58"/>
  <c r="C627" i="58"/>
  <c r="C626" i="58"/>
  <c r="C625" i="58"/>
  <c r="C624" i="58"/>
  <c r="C623" i="58"/>
  <c r="C622" i="58"/>
  <c r="C621" i="58"/>
  <c r="C620" i="58"/>
  <c r="C619" i="58"/>
  <c r="C618" i="58"/>
  <c r="C617" i="58"/>
  <c r="C616" i="58"/>
  <c r="C615" i="58"/>
  <c r="C614" i="58"/>
  <c r="C613" i="58"/>
  <c r="C612" i="58"/>
  <c r="C611" i="58"/>
  <c r="C610" i="58"/>
  <c r="C609" i="58"/>
  <c r="C608" i="58"/>
  <c r="C607" i="58"/>
  <c r="C606" i="58"/>
  <c r="C605" i="58"/>
  <c r="C604" i="58"/>
  <c r="C603" i="58"/>
  <c r="C602" i="58"/>
  <c r="C601" i="58"/>
  <c r="C600" i="58"/>
  <c r="C599" i="58"/>
  <c r="C598" i="58"/>
  <c r="C597" i="58"/>
  <c r="C596" i="58"/>
  <c r="C595" i="58"/>
  <c r="C594" i="58"/>
  <c r="C593" i="58"/>
  <c r="C592" i="58"/>
  <c r="C591" i="58"/>
  <c r="C590" i="58"/>
  <c r="C589" i="58"/>
  <c r="C588" i="58"/>
  <c r="C587" i="58"/>
  <c r="C586" i="58"/>
  <c r="C585" i="58"/>
  <c r="C584" i="58"/>
  <c r="C583" i="58"/>
  <c r="C582" i="58"/>
  <c r="C581" i="58"/>
  <c r="C580" i="58"/>
  <c r="C579" i="58"/>
  <c r="C578" i="58"/>
  <c r="C577" i="58"/>
  <c r="C576" i="58"/>
  <c r="C575" i="58"/>
  <c r="C574" i="58"/>
  <c r="C573" i="58"/>
  <c r="C572" i="58"/>
  <c r="C571" i="58"/>
  <c r="C570" i="58"/>
  <c r="C569" i="58"/>
  <c r="C568" i="58"/>
  <c r="C567" i="58"/>
  <c r="C566" i="58"/>
  <c r="C565" i="58"/>
  <c r="C564" i="58"/>
  <c r="C563" i="58"/>
  <c r="C562" i="58"/>
  <c r="C561" i="58"/>
  <c r="C560" i="58"/>
  <c r="C559" i="58"/>
  <c r="C558" i="58"/>
  <c r="C557" i="58"/>
  <c r="C556" i="58"/>
  <c r="C555" i="58"/>
  <c r="C554" i="58"/>
  <c r="C553" i="58"/>
  <c r="C552" i="58"/>
  <c r="C551" i="58"/>
  <c r="C550" i="58"/>
  <c r="C549" i="58"/>
  <c r="C548" i="58"/>
  <c r="C547" i="58"/>
  <c r="C546" i="58"/>
  <c r="C545" i="58"/>
  <c r="C544" i="58"/>
  <c r="C543" i="58"/>
  <c r="C542" i="58"/>
  <c r="C541" i="58"/>
  <c r="C540" i="58"/>
  <c r="C539" i="58"/>
  <c r="C538" i="58"/>
  <c r="C537" i="58"/>
  <c r="C536" i="58"/>
  <c r="C535" i="58"/>
  <c r="C534" i="58"/>
  <c r="C533" i="58"/>
  <c r="C532" i="58"/>
  <c r="C531" i="58"/>
  <c r="C530" i="58"/>
  <c r="C529" i="58"/>
  <c r="C528" i="58"/>
  <c r="C527" i="58"/>
  <c r="C526" i="58"/>
  <c r="C525" i="58"/>
  <c r="C524" i="58"/>
  <c r="C523" i="58"/>
  <c r="C522" i="58"/>
  <c r="C521" i="58"/>
  <c r="C520" i="58"/>
  <c r="C519" i="58"/>
  <c r="C518" i="58"/>
  <c r="C517" i="58"/>
  <c r="C516" i="58"/>
  <c r="C515" i="58"/>
  <c r="C514" i="58"/>
  <c r="C513" i="58"/>
  <c r="C512" i="58"/>
  <c r="C511" i="58"/>
  <c r="C510" i="58"/>
  <c r="C509" i="58"/>
  <c r="C508" i="58"/>
  <c r="C507" i="58"/>
  <c r="C506" i="58"/>
  <c r="C505" i="58"/>
  <c r="C504" i="58"/>
  <c r="C503" i="58"/>
  <c r="C502" i="58"/>
  <c r="C501" i="58"/>
  <c r="C500" i="58"/>
  <c r="C499" i="58"/>
  <c r="C498" i="58"/>
  <c r="C497" i="58"/>
  <c r="C496" i="58"/>
  <c r="C495" i="58"/>
  <c r="C494" i="58"/>
  <c r="C493" i="58"/>
  <c r="C492" i="58"/>
  <c r="C491" i="58"/>
  <c r="C490" i="58"/>
  <c r="C489" i="58"/>
  <c r="C488" i="58"/>
  <c r="C487" i="58"/>
  <c r="C486" i="58"/>
  <c r="C485" i="58"/>
  <c r="C484" i="58"/>
  <c r="C483" i="58"/>
  <c r="C482" i="58"/>
  <c r="C481" i="58"/>
  <c r="C480" i="58"/>
  <c r="C479" i="58"/>
  <c r="C478" i="58"/>
  <c r="C477" i="58"/>
  <c r="C476" i="58"/>
  <c r="C475" i="58"/>
  <c r="C474" i="58"/>
  <c r="C473" i="58"/>
  <c r="C472" i="58"/>
  <c r="C471" i="58"/>
  <c r="C470" i="58"/>
  <c r="C469" i="58"/>
  <c r="C468" i="58"/>
  <c r="C467" i="58"/>
  <c r="C466" i="58"/>
  <c r="C465" i="58"/>
  <c r="C464" i="58"/>
  <c r="C463" i="58"/>
  <c r="C462" i="58"/>
  <c r="C461" i="58"/>
  <c r="C460" i="58"/>
  <c r="C459" i="58"/>
  <c r="C458" i="58"/>
  <c r="C457" i="58"/>
  <c r="C456" i="58"/>
  <c r="C455" i="58"/>
  <c r="C454" i="58"/>
  <c r="C453" i="58"/>
  <c r="C452" i="58"/>
  <c r="C451" i="58"/>
  <c r="C450" i="58"/>
  <c r="C449" i="58"/>
  <c r="C448" i="58"/>
  <c r="C447" i="58"/>
  <c r="C446" i="58"/>
  <c r="C445" i="58"/>
  <c r="C444" i="58"/>
  <c r="C443" i="58"/>
  <c r="C442" i="58"/>
  <c r="C441" i="58"/>
  <c r="C440" i="58"/>
  <c r="C439" i="58"/>
  <c r="C438" i="58"/>
  <c r="C437" i="58"/>
  <c r="C436" i="58"/>
  <c r="C435" i="58"/>
  <c r="C434" i="58"/>
  <c r="C433" i="58"/>
  <c r="C432" i="58"/>
  <c r="C431" i="58"/>
  <c r="C430" i="58"/>
  <c r="C429" i="58"/>
  <c r="C428" i="58"/>
  <c r="C427" i="58"/>
  <c r="C426" i="58"/>
  <c r="C425" i="58"/>
  <c r="C424" i="58"/>
  <c r="C423" i="58"/>
  <c r="C422" i="58"/>
  <c r="C421" i="58"/>
  <c r="C420" i="58"/>
  <c r="C419" i="58"/>
  <c r="C418" i="58"/>
  <c r="C417" i="58"/>
  <c r="C416" i="58"/>
  <c r="C415" i="58"/>
  <c r="C414" i="58"/>
  <c r="C413" i="58"/>
  <c r="C412" i="58"/>
  <c r="C411" i="58"/>
  <c r="C410" i="58"/>
  <c r="C409" i="58"/>
  <c r="C408" i="58"/>
  <c r="C407" i="58"/>
  <c r="C406" i="58"/>
  <c r="C405" i="58"/>
  <c r="C404" i="58"/>
  <c r="C403" i="58"/>
  <c r="C402" i="58"/>
  <c r="C401" i="58"/>
  <c r="C400" i="58"/>
  <c r="C399" i="58"/>
  <c r="C398" i="58"/>
  <c r="C397" i="58"/>
  <c r="C396" i="58"/>
  <c r="C395" i="58"/>
  <c r="C394" i="58"/>
  <c r="C393" i="58"/>
  <c r="C392" i="58"/>
  <c r="C391" i="58"/>
  <c r="C390" i="58"/>
  <c r="C389" i="58"/>
  <c r="C388" i="58"/>
  <c r="C387" i="58"/>
  <c r="C386" i="58"/>
  <c r="C385" i="58"/>
  <c r="C384" i="58"/>
  <c r="C383" i="58"/>
  <c r="C382" i="58"/>
  <c r="C381" i="58"/>
  <c r="C380" i="58"/>
  <c r="C379" i="58"/>
  <c r="C378" i="58"/>
  <c r="C377" i="58"/>
  <c r="C376" i="58"/>
  <c r="C375" i="58"/>
  <c r="C374" i="58"/>
  <c r="C373" i="58"/>
  <c r="C372" i="58"/>
  <c r="C371" i="58"/>
  <c r="C370" i="58"/>
  <c r="C369" i="58"/>
  <c r="C368" i="58"/>
  <c r="C367" i="58"/>
  <c r="C366" i="58"/>
  <c r="C365" i="58"/>
  <c r="C364" i="58"/>
  <c r="C363" i="58"/>
  <c r="C362" i="58"/>
  <c r="C361" i="58"/>
  <c r="C360" i="58"/>
  <c r="C359" i="58"/>
  <c r="C358" i="58"/>
  <c r="C357" i="58"/>
  <c r="C356" i="58"/>
  <c r="C355" i="58"/>
  <c r="C354" i="58"/>
  <c r="C353" i="58"/>
  <c r="C352" i="58"/>
  <c r="C351" i="58"/>
  <c r="C350" i="58"/>
  <c r="C349" i="58"/>
  <c r="C348" i="58"/>
  <c r="C347" i="58"/>
  <c r="C346" i="58"/>
  <c r="C345" i="58"/>
  <c r="C344" i="58"/>
  <c r="C343" i="58"/>
  <c r="C342" i="58"/>
  <c r="C341" i="58"/>
  <c r="C340" i="58"/>
  <c r="C339" i="58"/>
  <c r="C338" i="58"/>
  <c r="C337" i="58"/>
  <c r="C336" i="58"/>
  <c r="C335" i="58"/>
  <c r="C334" i="58"/>
  <c r="C333" i="58"/>
  <c r="C332" i="58"/>
  <c r="C331" i="58"/>
  <c r="C330" i="58"/>
  <c r="C329" i="58"/>
  <c r="C328" i="58"/>
  <c r="C327" i="58"/>
  <c r="C326" i="58"/>
  <c r="C325" i="58"/>
  <c r="C324" i="58"/>
  <c r="C323" i="58"/>
  <c r="C322" i="58"/>
  <c r="C321" i="58"/>
  <c r="C320" i="58"/>
  <c r="C319" i="58"/>
  <c r="C318" i="58"/>
  <c r="C317" i="58"/>
  <c r="C316" i="58"/>
  <c r="C315" i="58"/>
  <c r="C314" i="58"/>
  <c r="C313" i="58"/>
  <c r="C312" i="58"/>
  <c r="C311" i="58"/>
  <c r="C310" i="58"/>
  <c r="C309" i="58"/>
  <c r="C308" i="58"/>
  <c r="C307" i="58"/>
  <c r="C306" i="58"/>
  <c r="C305" i="58"/>
  <c r="C304" i="58"/>
  <c r="C303" i="58"/>
  <c r="C302" i="58"/>
  <c r="C301" i="58"/>
  <c r="C300" i="58"/>
  <c r="C299" i="58"/>
  <c r="C298" i="58"/>
  <c r="C297" i="58"/>
  <c r="C296" i="58"/>
  <c r="C295" i="58"/>
  <c r="C294" i="58"/>
  <c r="C293" i="58"/>
  <c r="C292" i="58"/>
  <c r="C291" i="58"/>
  <c r="C290" i="58"/>
  <c r="C289" i="58"/>
  <c r="C288" i="58"/>
  <c r="C287" i="58"/>
  <c r="C286" i="58"/>
  <c r="C285" i="58"/>
  <c r="C284" i="58"/>
  <c r="C283" i="58"/>
  <c r="C282" i="58"/>
  <c r="C281" i="58"/>
  <c r="C280" i="58"/>
  <c r="C279" i="58"/>
  <c r="C278" i="58"/>
  <c r="C277" i="58"/>
  <c r="C276" i="58"/>
  <c r="C275" i="58"/>
  <c r="C274" i="58"/>
  <c r="C273" i="58"/>
  <c r="C272" i="58"/>
  <c r="C271" i="58"/>
  <c r="C270" i="58"/>
  <c r="C269" i="58"/>
  <c r="C268" i="58"/>
  <c r="C267" i="58"/>
  <c r="C266" i="58"/>
  <c r="C265" i="58"/>
  <c r="C264" i="58"/>
  <c r="C263" i="58"/>
  <c r="C262" i="58"/>
  <c r="C261" i="58"/>
  <c r="C260" i="58"/>
  <c r="C259" i="58"/>
  <c r="C258" i="58"/>
  <c r="C257" i="58"/>
  <c r="C256" i="58"/>
  <c r="C255" i="58"/>
  <c r="C254" i="58"/>
  <c r="C253" i="58"/>
  <c r="C252" i="58"/>
  <c r="C251" i="58"/>
  <c r="C250" i="58"/>
  <c r="C249" i="58"/>
  <c r="C248" i="58"/>
  <c r="C247" i="58"/>
  <c r="C246" i="58"/>
  <c r="C245" i="58"/>
  <c r="C244" i="58"/>
  <c r="C243" i="58"/>
  <c r="C242" i="58"/>
  <c r="C241" i="58"/>
  <c r="C240" i="58"/>
  <c r="C239" i="58"/>
  <c r="C238" i="58"/>
  <c r="C237" i="58"/>
  <c r="C236" i="58"/>
  <c r="C235" i="58"/>
  <c r="C234" i="58"/>
  <c r="C233" i="58"/>
  <c r="C232" i="58"/>
  <c r="C231" i="58"/>
  <c r="C230" i="58"/>
  <c r="C229" i="58"/>
  <c r="C228" i="58"/>
  <c r="C227" i="58"/>
  <c r="C226" i="58"/>
  <c r="C225" i="58"/>
  <c r="C224" i="58"/>
  <c r="C223" i="58"/>
  <c r="C222" i="58"/>
  <c r="C221" i="58"/>
  <c r="C220" i="58"/>
  <c r="C219" i="58"/>
  <c r="C218" i="58"/>
  <c r="C217" i="58"/>
  <c r="C216" i="58"/>
  <c r="C215" i="58"/>
  <c r="C214" i="58"/>
  <c r="C213" i="58"/>
  <c r="C212" i="58"/>
  <c r="C211" i="58"/>
  <c r="C210" i="58"/>
  <c r="C209" i="58"/>
  <c r="C208" i="58"/>
  <c r="C207" i="58"/>
  <c r="C206" i="58"/>
  <c r="C205" i="58"/>
  <c r="C204" i="58"/>
  <c r="C203" i="58"/>
  <c r="C202" i="58"/>
  <c r="C201" i="58"/>
  <c r="C200" i="58"/>
  <c r="C199" i="58"/>
  <c r="C198" i="58"/>
  <c r="C197" i="58"/>
  <c r="C196" i="58"/>
  <c r="C195" i="58"/>
  <c r="C194" i="58"/>
  <c r="C193" i="58"/>
  <c r="C192" i="58"/>
  <c r="C191" i="58"/>
  <c r="C190" i="58"/>
  <c r="C189" i="58"/>
  <c r="C188" i="58"/>
  <c r="C187" i="58"/>
  <c r="C186" i="58"/>
  <c r="C185" i="58"/>
  <c r="C184" i="58"/>
  <c r="C183" i="58"/>
  <c r="C182" i="58"/>
  <c r="C181" i="58"/>
  <c r="C180" i="58"/>
  <c r="C179" i="58"/>
  <c r="C178" i="58"/>
  <c r="C177" i="58"/>
  <c r="C176" i="58"/>
  <c r="C175" i="58"/>
  <c r="C174" i="58"/>
  <c r="C173" i="58"/>
  <c r="C172" i="58"/>
  <c r="C171" i="58"/>
  <c r="C170" i="58"/>
  <c r="C169" i="58"/>
  <c r="C168" i="58"/>
  <c r="C167" i="58"/>
  <c r="C166" i="58"/>
  <c r="C165" i="58"/>
  <c r="C164" i="58"/>
  <c r="C163" i="58"/>
  <c r="C162" i="58"/>
  <c r="C161" i="58"/>
  <c r="C160" i="58"/>
  <c r="C159" i="58"/>
  <c r="C158" i="58"/>
  <c r="C157" i="58"/>
  <c r="C156" i="58"/>
  <c r="C155" i="58"/>
  <c r="C154" i="58"/>
  <c r="C153" i="58"/>
  <c r="C152" i="58"/>
  <c r="C151" i="58"/>
  <c r="C150" i="58"/>
  <c r="C149" i="58"/>
  <c r="C148" i="58"/>
  <c r="C147" i="58"/>
  <c r="C146" i="58"/>
  <c r="C145" i="58"/>
  <c r="C144" i="58"/>
  <c r="C143" i="58"/>
  <c r="C142" i="58"/>
  <c r="C141" i="58"/>
  <c r="C140" i="58"/>
  <c r="C139" i="58"/>
  <c r="C138" i="58"/>
  <c r="C137" i="58"/>
  <c r="C136" i="58"/>
  <c r="C135" i="58"/>
  <c r="C134" i="58"/>
  <c r="C133" i="58"/>
  <c r="C132" i="58"/>
  <c r="C131" i="58"/>
  <c r="C130" i="58"/>
  <c r="C129" i="58"/>
  <c r="C128" i="58"/>
  <c r="C127" i="58"/>
  <c r="C126" i="58"/>
  <c r="C125" i="58"/>
  <c r="C124" i="58"/>
  <c r="C123" i="58"/>
  <c r="C122" i="58"/>
  <c r="C121" i="58"/>
  <c r="C120" i="58"/>
  <c r="C119" i="58"/>
  <c r="C118" i="58"/>
  <c r="C117" i="58"/>
  <c r="C116" i="58"/>
  <c r="C115" i="58"/>
  <c r="C114" i="58"/>
  <c r="C113" i="58"/>
  <c r="C112" i="58"/>
  <c r="C111" i="58"/>
  <c r="C110" i="58"/>
  <c r="C109" i="58"/>
  <c r="C108" i="58"/>
  <c r="C107" i="58"/>
  <c r="C106" i="58"/>
  <c r="C105" i="58"/>
  <c r="C104" i="58"/>
  <c r="C103" i="58"/>
  <c r="C102" i="58"/>
  <c r="C101" i="58"/>
  <c r="C100" i="58"/>
  <c r="C99" i="58"/>
  <c r="C98" i="58"/>
  <c r="C97" i="58"/>
  <c r="C96" i="58"/>
  <c r="C95" i="58"/>
  <c r="C94" i="58"/>
  <c r="C93" i="58"/>
  <c r="C92" i="58"/>
  <c r="C91" i="58"/>
  <c r="C90" i="58"/>
  <c r="C89" i="58"/>
  <c r="C88" i="58"/>
  <c r="C87" i="58"/>
  <c r="C86" i="58"/>
  <c r="C85" i="58"/>
  <c r="C84" i="58"/>
  <c r="C83" i="58"/>
  <c r="C82" i="58"/>
  <c r="C81" i="58"/>
  <c r="C80" i="58"/>
  <c r="C79" i="58"/>
  <c r="C78" i="58"/>
  <c r="C77" i="58"/>
  <c r="C76" i="58"/>
  <c r="C75" i="58"/>
  <c r="C74" i="58"/>
  <c r="C73" i="58"/>
  <c r="C72" i="58"/>
  <c r="C71" i="58"/>
  <c r="C70" i="58"/>
  <c r="C69" i="58"/>
  <c r="C68" i="58"/>
  <c r="C67" i="58"/>
  <c r="C66" i="58"/>
  <c r="C65" i="58"/>
  <c r="C64" i="58"/>
  <c r="C63" i="58"/>
  <c r="C62" i="58"/>
  <c r="C61" i="58"/>
  <c r="C60" i="58"/>
  <c r="C59" i="58"/>
  <c r="C58" i="58"/>
  <c r="C57" i="58"/>
  <c r="C56" i="58"/>
  <c r="C55" i="58"/>
  <c r="C54" i="58"/>
  <c r="C53" i="58"/>
  <c r="C52" i="58"/>
  <c r="C51" i="58"/>
  <c r="C50" i="58"/>
  <c r="C49" i="58"/>
  <c r="C48" i="58"/>
  <c r="C47" i="58"/>
  <c r="C46" i="58"/>
  <c r="C45" i="58"/>
  <c r="C44" i="58"/>
  <c r="C43" i="58"/>
  <c r="C42" i="58"/>
  <c r="C41" i="58"/>
  <c r="C40" i="58"/>
  <c r="C39" i="58"/>
  <c r="C38" i="58"/>
  <c r="C37" i="58"/>
  <c r="C36" i="58"/>
  <c r="C35" i="58"/>
  <c r="C34" i="58"/>
  <c r="C33" i="58"/>
  <c r="C32" i="58"/>
  <c r="C31" i="58"/>
  <c r="C30" i="58"/>
  <c r="C29" i="58"/>
  <c r="C28" i="58"/>
  <c r="C27" i="58"/>
  <c r="C26" i="58"/>
  <c r="C25" i="58"/>
  <c r="C24" i="58"/>
  <c r="C23" i="58"/>
  <c r="C22" i="58"/>
  <c r="C21" i="58"/>
  <c r="C20" i="58"/>
  <c r="C19" i="58"/>
  <c r="C18" i="58"/>
  <c r="C17" i="58"/>
  <c r="C16" i="58"/>
  <c r="C15" i="58"/>
  <c r="C14" i="58"/>
  <c r="C13" i="58"/>
  <c r="C12" i="58"/>
  <c r="C11" i="58"/>
  <c r="C10" i="58"/>
  <c r="C9" i="58"/>
  <c r="C8" i="58"/>
  <c r="C7" i="58"/>
  <c r="C6" i="58"/>
  <c r="C5" i="58"/>
  <c r="C4" i="58"/>
  <c r="C3" i="58"/>
  <c r="J805" i="58"/>
  <c r="I39" i="64"/>
  <c r="J37" i="64"/>
  <c r="J36" i="64"/>
  <c r="J35" i="64"/>
  <c r="J34" i="64"/>
  <c r="J33" i="64"/>
  <c r="J32" i="64"/>
  <c r="J31" i="64"/>
  <c r="J30" i="64"/>
  <c r="J29" i="64"/>
  <c r="J28" i="64"/>
  <c r="J27" i="64"/>
  <c r="J26" i="64"/>
  <c r="J25" i="64"/>
  <c r="J24" i="64"/>
  <c r="J23" i="64"/>
  <c r="J22" i="64"/>
  <c r="J21" i="64"/>
  <c r="J20" i="64"/>
  <c r="J19" i="64"/>
  <c r="J18" i="64"/>
  <c r="J17" i="64"/>
  <c r="J16" i="64"/>
  <c r="J15" i="64"/>
  <c r="J14" i="64"/>
  <c r="J13" i="64"/>
  <c r="J12" i="64"/>
  <c r="J11" i="64"/>
  <c r="J10" i="64"/>
  <c r="J9" i="64"/>
  <c r="J8" i="64"/>
  <c r="J7" i="64"/>
  <c r="J6" i="64"/>
  <c r="J5" i="64"/>
  <c r="J4" i="64"/>
  <c r="I37" i="64"/>
  <c r="I36" i="64"/>
  <c r="I35" i="64"/>
  <c r="I34" i="64"/>
  <c r="I33" i="64"/>
  <c r="I32" i="64"/>
  <c r="I31" i="64"/>
  <c r="I30" i="64"/>
  <c r="I29" i="64"/>
  <c r="I28" i="64"/>
  <c r="I27" i="64"/>
  <c r="I26" i="64"/>
  <c r="I25" i="64"/>
  <c r="I24" i="64"/>
  <c r="I23" i="64"/>
  <c r="I22" i="64"/>
  <c r="I21" i="64"/>
  <c r="I20" i="64"/>
  <c r="I19" i="64"/>
  <c r="I18" i="64"/>
  <c r="I17" i="64"/>
  <c r="I16" i="64"/>
  <c r="I15" i="64"/>
  <c r="I14" i="64"/>
  <c r="I13" i="64"/>
  <c r="I12" i="64"/>
  <c r="I11" i="64"/>
  <c r="I10" i="64"/>
  <c r="I9" i="64"/>
  <c r="I8" i="64"/>
  <c r="I7" i="64"/>
  <c r="I6" i="64"/>
  <c r="I5" i="64"/>
  <c r="I4" i="64"/>
  <c r="H36" i="64"/>
  <c r="H35" i="64"/>
  <c r="H34" i="64"/>
  <c r="H33" i="64"/>
  <c r="H32" i="64"/>
  <c r="H31" i="64"/>
  <c r="H30" i="64"/>
  <c r="H29" i="64"/>
  <c r="H28" i="64"/>
  <c r="H27" i="64"/>
  <c r="H26" i="64"/>
  <c r="H25" i="64"/>
  <c r="H24" i="64"/>
  <c r="H23" i="64"/>
  <c r="H22" i="64"/>
  <c r="H21" i="64"/>
  <c r="H20" i="64"/>
  <c r="H19" i="64"/>
  <c r="H18" i="64"/>
  <c r="H17" i="64"/>
  <c r="H16" i="64"/>
  <c r="H15" i="64"/>
  <c r="H14" i="64"/>
  <c r="H13" i="64"/>
  <c r="H12" i="64"/>
  <c r="H11" i="64"/>
  <c r="H10" i="64"/>
  <c r="H9" i="64"/>
  <c r="H8" i="64"/>
  <c r="H7" i="64"/>
  <c r="H6" i="64"/>
  <c r="H5" i="64"/>
  <c r="H4" i="64"/>
  <c r="G37" i="64"/>
  <c r="C4" i="64"/>
  <c r="C5" i="64"/>
  <c r="C6" i="64"/>
  <c r="C7" i="64"/>
  <c r="C8" i="64"/>
  <c r="C9" i="64"/>
  <c r="C10" i="64"/>
  <c r="C11" i="64"/>
  <c r="C12" i="64"/>
  <c r="C13" i="64"/>
  <c r="C14" i="64"/>
  <c r="C15" i="64"/>
  <c r="C16" i="64"/>
  <c r="C17" i="64"/>
  <c r="C18" i="64"/>
  <c r="C19" i="64"/>
  <c r="C20" i="64"/>
  <c r="C21" i="64"/>
  <c r="C22" i="64"/>
  <c r="C23" i="64"/>
  <c r="C24" i="64"/>
  <c r="C25" i="64"/>
  <c r="C26" i="64"/>
  <c r="C27" i="64"/>
  <c r="C28" i="64"/>
  <c r="C29" i="64"/>
  <c r="C30" i="64"/>
  <c r="C31" i="64"/>
  <c r="C32" i="64"/>
  <c r="C33" i="64"/>
  <c r="C34" i="64"/>
  <c r="C35" i="64"/>
  <c r="C36" i="64"/>
  <c r="C37" i="64"/>
  <c r="C38" i="64"/>
  <c r="C39" i="64"/>
  <c r="C40" i="64"/>
  <c r="C41" i="64"/>
  <c r="C42" i="64"/>
  <c r="C43" i="64"/>
  <c r="C44" i="64"/>
  <c r="C45" i="64"/>
  <c r="C46" i="64"/>
  <c r="C47" i="64"/>
  <c r="C48" i="64"/>
  <c r="C49" i="64"/>
  <c r="C50" i="64"/>
  <c r="C51" i="64"/>
  <c r="C52" i="64"/>
  <c r="C53" i="64"/>
  <c r="C54" i="64"/>
  <c r="C55" i="64"/>
  <c r="C56" i="64"/>
  <c r="C57" i="64"/>
  <c r="C58" i="64"/>
  <c r="C59" i="64"/>
  <c r="C60" i="64"/>
  <c r="C61" i="64"/>
  <c r="C62" i="64"/>
  <c r="C63" i="64"/>
  <c r="C64" i="64"/>
  <c r="C65" i="64"/>
  <c r="C66" i="64"/>
  <c r="C67" i="64"/>
  <c r="C68" i="64"/>
  <c r="C69" i="64"/>
  <c r="C70" i="64"/>
  <c r="C71" i="64"/>
  <c r="C72" i="64"/>
  <c r="C73" i="64"/>
  <c r="C74" i="64"/>
  <c r="C75" i="64"/>
  <c r="C76" i="64"/>
  <c r="C77" i="64"/>
  <c r="C78" i="64"/>
  <c r="C79" i="64"/>
  <c r="C80" i="64"/>
  <c r="C81" i="64"/>
  <c r="C82" i="64"/>
  <c r="C83" i="64"/>
  <c r="C84" i="64"/>
  <c r="C85" i="64"/>
  <c r="C86" i="64"/>
  <c r="C87" i="64"/>
  <c r="C88" i="64"/>
  <c r="C89" i="64"/>
  <c r="C90" i="64"/>
  <c r="C91" i="64"/>
  <c r="C92" i="64"/>
  <c r="C93" i="64"/>
  <c r="C94" i="64"/>
  <c r="C95" i="64"/>
  <c r="C96" i="64"/>
  <c r="C97" i="64"/>
  <c r="C98" i="64"/>
  <c r="C99" i="64"/>
  <c r="C100" i="64"/>
  <c r="C101" i="64"/>
  <c r="C102" i="64"/>
  <c r="C103" i="64"/>
  <c r="C104" i="64"/>
  <c r="C105" i="64"/>
  <c r="C106" i="64"/>
  <c r="C107" i="64"/>
  <c r="C108" i="64"/>
  <c r="C109" i="64"/>
  <c r="C110" i="64"/>
  <c r="C111" i="64"/>
  <c r="C112" i="64"/>
  <c r="C113" i="64"/>
  <c r="C114" i="64"/>
  <c r="C115" i="64"/>
  <c r="C116" i="64"/>
  <c r="C117" i="64"/>
  <c r="C118" i="64"/>
  <c r="C119" i="64"/>
  <c r="C120" i="64"/>
  <c r="C121" i="64"/>
  <c r="C122" i="64"/>
  <c r="C123" i="64"/>
  <c r="C124" i="64"/>
  <c r="C125" i="64"/>
  <c r="C126" i="64"/>
  <c r="C127" i="64"/>
  <c r="C128" i="64"/>
  <c r="C129" i="64"/>
  <c r="C130" i="64"/>
  <c r="C131" i="64"/>
  <c r="C132" i="64"/>
  <c r="C133" i="64"/>
  <c r="C134" i="64"/>
  <c r="C135" i="64"/>
  <c r="C136" i="64"/>
  <c r="C137" i="64"/>
  <c r="C138" i="64"/>
  <c r="C139" i="64"/>
  <c r="C140" i="64"/>
  <c r="C141" i="64"/>
  <c r="C142" i="64"/>
  <c r="C143" i="64"/>
  <c r="C144" i="64"/>
  <c r="C145" i="64"/>
  <c r="C146" i="64"/>
  <c r="C147" i="64"/>
  <c r="C148" i="64"/>
  <c r="C149" i="64"/>
  <c r="C150" i="64"/>
  <c r="C151" i="64"/>
  <c r="C152" i="64"/>
  <c r="C153" i="64"/>
  <c r="C154" i="64"/>
  <c r="C155" i="64"/>
  <c r="C156" i="64"/>
  <c r="C157" i="64"/>
  <c r="C158" i="64"/>
  <c r="C159" i="64"/>
  <c r="C160" i="64"/>
  <c r="C161" i="64"/>
  <c r="C162" i="64"/>
  <c r="C163" i="64"/>
  <c r="C164" i="64"/>
  <c r="C165" i="64"/>
  <c r="C166" i="64"/>
  <c r="C167" i="64"/>
  <c r="C168" i="64"/>
  <c r="C169" i="64"/>
  <c r="C170" i="64"/>
  <c r="C171" i="64"/>
  <c r="C172" i="64"/>
  <c r="C173" i="64"/>
  <c r="C174" i="64"/>
  <c r="C175" i="64"/>
  <c r="C176" i="64"/>
  <c r="C177" i="64"/>
  <c r="C178" i="64"/>
  <c r="C179" i="64"/>
  <c r="C180" i="64"/>
  <c r="C181" i="64"/>
  <c r="C182" i="64"/>
  <c r="C183" i="64"/>
  <c r="C184" i="64"/>
  <c r="C185" i="64"/>
  <c r="C186" i="64"/>
  <c r="C187" i="64"/>
  <c r="C188" i="64"/>
  <c r="C189" i="64"/>
  <c r="C190" i="64"/>
  <c r="C191" i="64"/>
  <c r="C192" i="64"/>
  <c r="C193" i="64"/>
  <c r="C194" i="64"/>
  <c r="C195" i="64"/>
  <c r="C196" i="64"/>
  <c r="C197" i="64"/>
  <c r="C198" i="64"/>
  <c r="C199" i="64"/>
  <c r="C200" i="64"/>
  <c r="C201" i="64"/>
  <c r="C202" i="64"/>
  <c r="C203" i="64"/>
  <c r="C204" i="64"/>
  <c r="C205" i="64"/>
  <c r="C206" i="64"/>
  <c r="C207" i="64"/>
  <c r="C208" i="64"/>
  <c r="C209" i="64"/>
  <c r="C210" i="64"/>
  <c r="C211" i="64"/>
  <c r="C212" i="64"/>
  <c r="C213" i="64"/>
  <c r="C214" i="64"/>
  <c r="C215" i="64"/>
  <c r="C216" i="64"/>
  <c r="C217" i="64"/>
  <c r="C218" i="64"/>
  <c r="C219" i="64"/>
  <c r="C220" i="64"/>
  <c r="C221" i="64"/>
  <c r="C222" i="64"/>
  <c r="C223" i="64"/>
  <c r="C224" i="64"/>
  <c r="C225" i="64"/>
  <c r="C226" i="64"/>
  <c r="C227" i="64"/>
  <c r="C228" i="64"/>
  <c r="C229" i="64"/>
  <c r="C230" i="64"/>
  <c r="C231" i="64"/>
  <c r="C232" i="64"/>
  <c r="C233" i="64"/>
  <c r="C234" i="64"/>
  <c r="C235" i="64"/>
  <c r="C236" i="64"/>
  <c r="C237" i="64"/>
  <c r="C238" i="64"/>
  <c r="C239" i="64"/>
  <c r="C240" i="64"/>
  <c r="C241" i="64"/>
  <c r="C242" i="64"/>
  <c r="C243" i="64"/>
  <c r="C244" i="64"/>
  <c r="C245" i="64"/>
  <c r="C246" i="64"/>
  <c r="C247" i="64"/>
  <c r="C248" i="64"/>
  <c r="C249" i="64"/>
  <c r="C250" i="64"/>
  <c r="C251" i="64"/>
  <c r="C252" i="64"/>
  <c r="C253" i="64"/>
  <c r="C254" i="64"/>
  <c r="C255" i="64"/>
  <c r="C256" i="64"/>
  <c r="C257" i="64"/>
  <c r="C258" i="64"/>
  <c r="C259" i="64"/>
  <c r="C260" i="64"/>
  <c r="C261" i="64"/>
  <c r="C262" i="64"/>
  <c r="C263" i="64"/>
  <c r="C264" i="64"/>
  <c r="C265" i="64"/>
  <c r="C266" i="64"/>
  <c r="C267" i="64"/>
  <c r="C268" i="64"/>
  <c r="C269" i="64"/>
  <c r="C270" i="64"/>
  <c r="C271" i="64"/>
  <c r="C272" i="64"/>
  <c r="C273" i="64"/>
  <c r="C274" i="64"/>
  <c r="C275" i="64"/>
  <c r="C276" i="64"/>
  <c r="C277" i="64"/>
  <c r="C278" i="64"/>
  <c r="C279" i="64"/>
  <c r="C280" i="64"/>
  <c r="C281" i="64"/>
  <c r="C282" i="64"/>
  <c r="C283" i="64"/>
  <c r="C284" i="64"/>
  <c r="C285" i="64"/>
  <c r="C286" i="64"/>
  <c r="C287" i="64"/>
  <c r="C288" i="64"/>
  <c r="C289" i="64"/>
  <c r="C290" i="64"/>
  <c r="C291" i="64"/>
  <c r="C292" i="64"/>
  <c r="C293" i="64"/>
  <c r="C294" i="64"/>
  <c r="C295" i="64"/>
  <c r="C296" i="64"/>
  <c r="C297" i="64"/>
  <c r="C298" i="64"/>
  <c r="C299" i="64"/>
  <c r="C300" i="64"/>
  <c r="C301" i="64"/>
  <c r="C302" i="64"/>
  <c r="C303" i="64"/>
  <c r="C304" i="64"/>
  <c r="C305" i="64"/>
  <c r="C306" i="64"/>
  <c r="C307" i="64"/>
  <c r="C308" i="64"/>
  <c r="C309" i="64"/>
  <c r="C310" i="64"/>
  <c r="C311" i="64"/>
  <c r="C312" i="64"/>
  <c r="C313" i="64"/>
  <c r="C314" i="64"/>
  <c r="C315" i="64"/>
  <c r="C316" i="64"/>
  <c r="C317" i="64"/>
  <c r="C318" i="64"/>
  <c r="C319" i="64"/>
  <c r="C320" i="64"/>
  <c r="C321" i="64"/>
  <c r="C322" i="64"/>
  <c r="C323" i="64"/>
  <c r="C324" i="64"/>
  <c r="C325" i="64"/>
  <c r="C326" i="64"/>
  <c r="C327" i="64"/>
  <c r="C328" i="64"/>
  <c r="C329" i="64"/>
  <c r="C330" i="64"/>
  <c r="C331" i="64"/>
  <c r="C332" i="64"/>
  <c r="C333" i="64"/>
  <c r="C334" i="64"/>
  <c r="C335" i="64"/>
  <c r="C336" i="64"/>
  <c r="C337" i="64"/>
  <c r="C338" i="64"/>
  <c r="C339" i="64"/>
  <c r="C340" i="64"/>
  <c r="C341" i="64"/>
  <c r="C342" i="64"/>
  <c r="C343" i="64"/>
  <c r="C344" i="64"/>
  <c r="C345" i="64"/>
  <c r="C346" i="64"/>
  <c r="C347" i="64"/>
  <c r="C348" i="64"/>
  <c r="C349" i="64"/>
  <c r="C350" i="64"/>
  <c r="C351" i="64"/>
  <c r="C352" i="64"/>
  <c r="C353" i="64"/>
  <c r="C354" i="64"/>
  <c r="C355" i="64"/>
  <c r="C356" i="64"/>
  <c r="C357" i="64"/>
  <c r="C358" i="64"/>
  <c r="C359" i="64"/>
  <c r="C360" i="64"/>
  <c r="C361" i="64"/>
  <c r="C362" i="64"/>
  <c r="C363" i="64"/>
  <c r="C364" i="64"/>
  <c r="C365" i="64"/>
  <c r="C366" i="64"/>
  <c r="C367" i="64"/>
  <c r="C368" i="64"/>
  <c r="C369" i="64"/>
  <c r="C370" i="64"/>
  <c r="C371" i="64"/>
  <c r="C372" i="64"/>
  <c r="C373" i="64"/>
  <c r="C374" i="64"/>
  <c r="C375" i="64"/>
  <c r="C376" i="64"/>
  <c r="C377" i="64"/>
  <c r="C378" i="64"/>
  <c r="C379" i="64"/>
  <c r="C380" i="64"/>
  <c r="C381" i="64"/>
  <c r="C382" i="64"/>
  <c r="C383" i="64"/>
  <c r="C384" i="64"/>
  <c r="C385" i="64"/>
  <c r="C386" i="64"/>
  <c r="C387" i="64"/>
  <c r="C388" i="64"/>
  <c r="C389" i="64"/>
  <c r="C390" i="64"/>
  <c r="C391" i="64"/>
  <c r="C392" i="64"/>
  <c r="C393" i="64"/>
  <c r="C394" i="64"/>
  <c r="C395" i="64"/>
  <c r="C396" i="64"/>
  <c r="C397" i="64"/>
  <c r="C398" i="64"/>
  <c r="C399" i="64"/>
  <c r="C400" i="64"/>
  <c r="C401" i="64"/>
  <c r="C402" i="64"/>
  <c r="C403" i="64"/>
  <c r="C404" i="64"/>
  <c r="C405" i="64"/>
  <c r="C406" i="64"/>
  <c r="C407" i="64"/>
  <c r="C408" i="64"/>
  <c r="C409" i="64"/>
  <c r="C410" i="64"/>
  <c r="C411" i="64"/>
  <c r="C412" i="64"/>
  <c r="C413" i="64"/>
  <c r="C414" i="64"/>
  <c r="C415" i="64"/>
  <c r="C416" i="64"/>
  <c r="C417" i="64"/>
  <c r="C418" i="64"/>
  <c r="C419" i="64"/>
  <c r="C420" i="64"/>
  <c r="C421" i="64"/>
  <c r="C422" i="64"/>
  <c r="C423" i="64"/>
  <c r="C424" i="64"/>
  <c r="C425" i="64"/>
  <c r="C426" i="64"/>
  <c r="C427" i="64"/>
  <c r="C428" i="64"/>
  <c r="C429" i="64"/>
  <c r="C430" i="64"/>
  <c r="C431" i="64"/>
  <c r="C432" i="64"/>
  <c r="C433" i="64"/>
  <c r="C434" i="64"/>
  <c r="C435" i="64"/>
  <c r="C436" i="64"/>
  <c r="C437" i="64"/>
  <c r="C438" i="64"/>
  <c r="C439" i="64"/>
  <c r="C440" i="64"/>
  <c r="C441" i="64"/>
  <c r="C442" i="64"/>
  <c r="C443" i="64"/>
  <c r="C444" i="64"/>
  <c r="C445" i="64"/>
  <c r="C446" i="64"/>
  <c r="C447" i="64"/>
  <c r="C448" i="64"/>
  <c r="C449" i="64"/>
  <c r="C450" i="64"/>
  <c r="C451" i="64"/>
  <c r="C452" i="64"/>
  <c r="C453" i="64"/>
  <c r="C454" i="64"/>
  <c r="C455" i="64"/>
  <c r="C456" i="64"/>
  <c r="C457" i="64"/>
  <c r="C458" i="64"/>
  <c r="C459" i="64"/>
  <c r="C460" i="64"/>
  <c r="C461" i="64"/>
  <c r="C462" i="64"/>
  <c r="C463" i="64"/>
  <c r="C464" i="64"/>
  <c r="C465" i="64"/>
  <c r="C466" i="64"/>
  <c r="C467" i="64"/>
  <c r="C468" i="64"/>
  <c r="C469" i="64"/>
  <c r="C470" i="64"/>
  <c r="C471" i="64"/>
  <c r="C472" i="64"/>
  <c r="C473" i="64"/>
  <c r="C474" i="64"/>
  <c r="C475" i="64"/>
  <c r="C476" i="64"/>
  <c r="C477" i="64"/>
  <c r="C478" i="64"/>
  <c r="C479" i="64"/>
  <c r="C480" i="64"/>
  <c r="C481" i="64"/>
  <c r="C482" i="64"/>
  <c r="C483" i="64"/>
  <c r="C484" i="64"/>
  <c r="C485" i="64"/>
  <c r="C486" i="64"/>
  <c r="C487" i="64"/>
  <c r="C488" i="64"/>
  <c r="C489" i="64"/>
  <c r="C490" i="64"/>
  <c r="C491" i="64"/>
  <c r="C492" i="64"/>
  <c r="C493" i="64"/>
  <c r="C494" i="64"/>
  <c r="C495" i="64"/>
  <c r="C496" i="64"/>
  <c r="C497" i="64"/>
  <c r="C498" i="64"/>
  <c r="C499" i="64"/>
  <c r="C500" i="64"/>
  <c r="C501" i="64"/>
  <c r="C502" i="64"/>
  <c r="C503" i="64"/>
  <c r="C504" i="64"/>
  <c r="C505" i="64"/>
  <c r="C506" i="64"/>
  <c r="C507" i="64"/>
  <c r="C508" i="64"/>
  <c r="C509" i="64"/>
  <c r="C510" i="64"/>
  <c r="C511" i="64"/>
  <c r="C512" i="64"/>
  <c r="C513" i="64"/>
  <c r="C514" i="64"/>
  <c r="C515" i="64"/>
  <c r="C516" i="64"/>
  <c r="C517" i="64"/>
  <c r="C518" i="64"/>
  <c r="C519" i="64"/>
  <c r="C520" i="64"/>
  <c r="C521" i="64"/>
  <c r="C522" i="64"/>
  <c r="C523" i="64"/>
  <c r="C524" i="64"/>
  <c r="C525" i="64"/>
  <c r="C526" i="64"/>
  <c r="C527" i="64"/>
  <c r="C528" i="64"/>
  <c r="C529" i="64"/>
  <c r="C530" i="64"/>
  <c r="C531" i="64"/>
  <c r="C532" i="64"/>
  <c r="C533" i="64"/>
  <c r="C534" i="64"/>
  <c r="C535" i="64"/>
  <c r="C536" i="64"/>
  <c r="C537" i="64"/>
  <c r="C538" i="64"/>
  <c r="C539" i="64"/>
  <c r="C540" i="64"/>
  <c r="C541" i="64"/>
  <c r="C542" i="64"/>
  <c r="C543" i="64"/>
  <c r="C544" i="64"/>
  <c r="C545" i="64"/>
  <c r="C546" i="64"/>
  <c r="C547" i="64"/>
  <c r="C548" i="64"/>
  <c r="C549" i="64"/>
  <c r="C550" i="64"/>
  <c r="C551" i="64"/>
  <c r="C552" i="64"/>
  <c r="C553" i="64"/>
  <c r="C554" i="64"/>
  <c r="C555" i="64"/>
  <c r="C556" i="64"/>
  <c r="C557" i="64"/>
  <c r="C558" i="64"/>
  <c r="C559" i="64"/>
  <c r="C560" i="64"/>
  <c r="C561" i="64"/>
  <c r="C562" i="64"/>
  <c r="C563" i="64"/>
  <c r="C564" i="64"/>
  <c r="C565" i="64"/>
  <c r="C566" i="64"/>
  <c r="C567" i="64"/>
  <c r="C568" i="64"/>
  <c r="C569" i="64"/>
  <c r="C570" i="64"/>
  <c r="C571" i="64"/>
  <c r="C572" i="64"/>
  <c r="C573" i="64"/>
  <c r="C574" i="64"/>
  <c r="C575" i="64"/>
  <c r="C576" i="64"/>
  <c r="C577" i="64"/>
  <c r="C578" i="64"/>
  <c r="C579" i="64"/>
  <c r="C580" i="64"/>
  <c r="C581" i="64"/>
  <c r="C582" i="64"/>
  <c r="C583" i="64"/>
  <c r="C584" i="64"/>
  <c r="C585" i="64"/>
  <c r="C586" i="64"/>
  <c r="C587" i="64"/>
  <c r="C588" i="64"/>
  <c r="C589" i="64"/>
  <c r="C590" i="64"/>
  <c r="C591" i="64"/>
  <c r="C592" i="64"/>
  <c r="C593" i="64"/>
  <c r="C594" i="64"/>
  <c r="C595" i="64"/>
  <c r="C596" i="64"/>
  <c r="C597" i="64"/>
  <c r="C598" i="64"/>
  <c r="C599" i="64"/>
  <c r="C600" i="64"/>
  <c r="C601" i="64"/>
  <c r="C602" i="64"/>
  <c r="C603" i="64"/>
  <c r="C604" i="64"/>
  <c r="C605" i="64"/>
  <c r="C606" i="64"/>
  <c r="C607" i="64"/>
  <c r="C608" i="64"/>
  <c r="C609" i="64"/>
  <c r="C610" i="64"/>
  <c r="C611" i="64"/>
  <c r="C612" i="64"/>
  <c r="C613" i="64"/>
  <c r="C614" i="64"/>
  <c r="C615" i="64"/>
  <c r="C616" i="64"/>
  <c r="C617" i="64"/>
  <c r="C618" i="64"/>
  <c r="C619" i="64"/>
  <c r="C620" i="64"/>
  <c r="C621" i="64"/>
  <c r="C622" i="64"/>
  <c r="C623" i="64"/>
  <c r="C624" i="64"/>
  <c r="C625" i="64"/>
  <c r="C626" i="64"/>
  <c r="C627" i="64"/>
  <c r="C628" i="64"/>
  <c r="C629" i="64"/>
  <c r="C630" i="64"/>
  <c r="C631" i="64"/>
  <c r="C632" i="64"/>
  <c r="C633" i="64"/>
  <c r="C634" i="64"/>
  <c r="C635" i="64"/>
  <c r="C636" i="64"/>
  <c r="C637" i="64"/>
  <c r="C638" i="64"/>
  <c r="C639" i="64"/>
  <c r="C640" i="64"/>
  <c r="C641" i="64"/>
  <c r="C642" i="64"/>
  <c r="C643" i="64"/>
  <c r="C644" i="64"/>
  <c r="C645" i="64"/>
  <c r="C646" i="64"/>
  <c r="C647" i="64"/>
  <c r="C648" i="64"/>
  <c r="C649" i="64"/>
  <c r="C650" i="64"/>
  <c r="C651" i="64"/>
  <c r="C652" i="64"/>
  <c r="C653" i="64"/>
  <c r="C654" i="64"/>
  <c r="C655" i="64"/>
  <c r="C656" i="64"/>
  <c r="C657" i="64"/>
  <c r="C658" i="64"/>
  <c r="C659" i="64"/>
  <c r="C660" i="64"/>
  <c r="C661" i="64"/>
  <c r="C662" i="64"/>
  <c r="C663" i="64"/>
  <c r="C664" i="64"/>
  <c r="C665" i="64"/>
  <c r="C666" i="64"/>
  <c r="C667" i="64"/>
  <c r="C668" i="64"/>
  <c r="C669" i="64"/>
  <c r="C670" i="64"/>
  <c r="C671" i="64"/>
  <c r="C672" i="64"/>
  <c r="C673" i="64"/>
  <c r="C674" i="64"/>
  <c r="C675" i="64"/>
  <c r="C676" i="64"/>
  <c r="C677" i="64"/>
  <c r="C678" i="64"/>
  <c r="C679" i="64"/>
  <c r="C680" i="64"/>
  <c r="C681" i="64"/>
  <c r="C682" i="64"/>
  <c r="C683" i="64"/>
  <c r="C684" i="64"/>
  <c r="C685" i="64"/>
  <c r="C686" i="64"/>
  <c r="C687" i="64"/>
  <c r="C688" i="64"/>
  <c r="C689" i="64"/>
  <c r="C690" i="64"/>
  <c r="C691" i="64"/>
  <c r="C692" i="64"/>
  <c r="C693" i="64"/>
  <c r="C694" i="64"/>
  <c r="C695" i="64"/>
  <c r="C696" i="64"/>
  <c r="C697" i="64"/>
  <c r="C698" i="64"/>
  <c r="C699" i="64"/>
  <c r="C700" i="64"/>
  <c r="C701" i="64"/>
  <c r="C702" i="64"/>
  <c r="C703" i="64"/>
  <c r="C704" i="64"/>
  <c r="C705" i="64"/>
  <c r="C706" i="64"/>
  <c r="C707" i="64"/>
  <c r="C708" i="64"/>
  <c r="C709" i="64"/>
  <c r="C710" i="64"/>
  <c r="C711" i="64"/>
  <c r="C712" i="64"/>
  <c r="C713" i="64"/>
  <c r="C714" i="64"/>
  <c r="C715" i="64"/>
  <c r="C716" i="64"/>
  <c r="C717" i="64"/>
  <c r="C718" i="64"/>
  <c r="C719" i="64"/>
  <c r="C720" i="64"/>
  <c r="C721" i="64"/>
  <c r="C722" i="64"/>
  <c r="C723" i="64"/>
  <c r="C724" i="64"/>
  <c r="C725" i="64"/>
  <c r="C726" i="64"/>
  <c r="C727" i="64"/>
  <c r="C728" i="64"/>
  <c r="C729" i="64"/>
  <c r="C730" i="64"/>
  <c r="C731" i="64"/>
  <c r="C732" i="64"/>
  <c r="C733" i="64"/>
  <c r="C734" i="64"/>
  <c r="C735" i="64"/>
  <c r="C736" i="64"/>
  <c r="C737" i="64"/>
  <c r="C738" i="64"/>
  <c r="C739" i="64"/>
  <c r="C740" i="64"/>
  <c r="C741" i="64"/>
  <c r="C742" i="64"/>
  <c r="C743" i="64"/>
  <c r="C744" i="64"/>
  <c r="C745" i="64"/>
  <c r="C746" i="64"/>
  <c r="C747" i="64"/>
  <c r="C748" i="64"/>
  <c r="C749" i="64"/>
  <c r="C750" i="64"/>
  <c r="C751" i="64"/>
  <c r="C752" i="64"/>
  <c r="C753" i="64"/>
  <c r="C754" i="64"/>
  <c r="C755" i="64"/>
  <c r="C756" i="64"/>
  <c r="C757" i="64"/>
  <c r="C758" i="64"/>
  <c r="C759" i="64"/>
  <c r="C760" i="64"/>
  <c r="C761" i="64"/>
  <c r="C762" i="64"/>
  <c r="C763" i="64"/>
  <c r="C764" i="64"/>
  <c r="C765" i="64"/>
  <c r="C766" i="64"/>
  <c r="C767" i="64"/>
  <c r="C768" i="64"/>
  <c r="C769" i="64"/>
  <c r="C770" i="64"/>
  <c r="C771" i="64"/>
  <c r="C772" i="64"/>
  <c r="C773" i="64"/>
  <c r="C774" i="64"/>
  <c r="C775" i="64"/>
  <c r="C776" i="64"/>
  <c r="C777" i="64"/>
  <c r="C778" i="64"/>
  <c r="C779" i="64"/>
  <c r="C780" i="64"/>
  <c r="C781" i="64"/>
  <c r="C782" i="64"/>
  <c r="C783" i="64"/>
  <c r="C784" i="64"/>
  <c r="C785" i="64"/>
  <c r="C786" i="64"/>
  <c r="C787" i="64"/>
  <c r="C788" i="64"/>
  <c r="C789" i="64"/>
  <c r="C790" i="64"/>
  <c r="C791" i="64"/>
  <c r="C792" i="64"/>
  <c r="C793" i="64"/>
  <c r="C794" i="64"/>
  <c r="C795" i="64"/>
  <c r="C796" i="64"/>
  <c r="C797" i="64"/>
  <c r="C798" i="64"/>
  <c r="C799" i="64"/>
  <c r="C800" i="64"/>
  <c r="C801" i="64"/>
  <c r="C802" i="64"/>
  <c r="C803" i="64"/>
  <c r="C804" i="64"/>
  <c r="C805" i="64"/>
  <c r="C806" i="64"/>
  <c r="C807" i="64"/>
  <c r="C808" i="64"/>
  <c r="C809" i="64"/>
  <c r="C810" i="64"/>
  <c r="C811" i="64"/>
  <c r="C812" i="64"/>
  <c r="C813" i="64"/>
  <c r="C814" i="64"/>
  <c r="C815" i="64"/>
  <c r="C816" i="64"/>
  <c r="C817" i="64"/>
  <c r="C818" i="64"/>
  <c r="C819" i="64"/>
  <c r="C820" i="64"/>
  <c r="C821" i="64"/>
  <c r="C822" i="64"/>
  <c r="C823" i="64"/>
  <c r="C824" i="64"/>
  <c r="C825" i="64"/>
  <c r="C826" i="64"/>
  <c r="C827" i="64"/>
  <c r="C828" i="64"/>
  <c r="C829" i="64"/>
  <c r="C830" i="64"/>
  <c r="C831" i="64"/>
  <c r="C832" i="64"/>
  <c r="C833" i="64"/>
  <c r="C834" i="64"/>
  <c r="C835" i="64"/>
  <c r="C836" i="64"/>
  <c r="C837" i="64"/>
  <c r="C838" i="64"/>
  <c r="C839" i="64"/>
  <c r="C840" i="64"/>
  <c r="C841" i="64"/>
  <c r="C842" i="64"/>
  <c r="C843" i="64"/>
  <c r="C844" i="64"/>
  <c r="C845" i="64"/>
  <c r="C846" i="64"/>
  <c r="C847" i="64"/>
  <c r="C848" i="64"/>
  <c r="C849" i="64"/>
  <c r="C850" i="64"/>
  <c r="C851" i="64"/>
  <c r="C852" i="64"/>
  <c r="C853" i="64"/>
  <c r="C854" i="64"/>
  <c r="C855" i="64"/>
  <c r="C856" i="64"/>
  <c r="C857" i="64"/>
  <c r="C858" i="64"/>
  <c r="C859" i="64"/>
  <c r="C860" i="64"/>
  <c r="C861" i="64"/>
  <c r="C862" i="64"/>
  <c r="C863" i="64"/>
  <c r="C864" i="64"/>
  <c r="C865" i="64"/>
  <c r="C866" i="64"/>
  <c r="C867" i="64"/>
  <c r="C868" i="64"/>
  <c r="C869" i="64"/>
  <c r="C870" i="64"/>
  <c r="C871" i="64"/>
  <c r="C872" i="64"/>
  <c r="C873" i="64"/>
  <c r="C874" i="64"/>
  <c r="C875" i="64"/>
  <c r="C876" i="64"/>
  <c r="C877" i="64"/>
  <c r="C878" i="64"/>
  <c r="C879" i="64"/>
  <c r="C880" i="64"/>
  <c r="C881" i="64"/>
  <c r="C882" i="64"/>
  <c r="C883" i="64"/>
  <c r="C884" i="64"/>
  <c r="C885" i="64"/>
  <c r="C886" i="64"/>
  <c r="C887" i="64"/>
  <c r="C888" i="64"/>
  <c r="C889" i="64"/>
  <c r="C890" i="64"/>
  <c r="C891" i="64"/>
  <c r="C892" i="64"/>
  <c r="C893" i="64"/>
  <c r="C894" i="64"/>
  <c r="C895" i="64"/>
  <c r="C896" i="64"/>
  <c r="C897" i="64"/>
  <c r="C898" i="64"/>
  <c r="C899" i="64"/>
  <c r="C900" i="64"/>
  <c r="C901" i="64"/>
  <c r="C902" i="64"/>
  <c r="C903" i="64"/>
  <c r="C904" i="64"/>
  <c r="C905" i="64"/>
  <c r="C906" i="64"/>
  <c r="C907" i="64"/>
  <c r="C908" i="64"/>
  <c r="C909" i="64"/>
  <c r="C910" i="64"/>
  <c r="C911" i="64"/>
  <c r="C912" i="64"/>
  <c r="C913" i="64"/>
  <c r="C914" i="64"/>
  <c r="C915" i="64"/>
  <c r="C916" i="64"/>
  <c r="C917" i="64"/>
  <c r="C918" i="64"/>
  <c r="C919" i="64"/>
  <c r="C920" i="64"/>
  <c r="C921" i="64"/>
  <c r="C922" i="64"/>
  <c r="C923" i="64"/>
  <c r="C924" i="64"/>
  <c r="C925" i="64"/>
  <c r="C926" i="64"/>
  <c r="C927" i="64"/>
  <c r="C928" i="64"/>
  <c r="C929" i="64"/>
  <c r="C930" i="64"/>
  <c r="C931" i="64"/>
  <c r="C932" i="64"/>
  <c r="C933" i="64"/>
  <c r="C934" i="64"/>
  <c r="C935" i="64"/>
  <c r="C936" i="64"/>
  <c r="C937" i="64"/>
  <c r="C938" i="64"/>
  <c r="C939" i="64"/>
  <c r="C940" i="64"/>
  <c r="C941" i="64"/>
  <c r="C942" i="64"/>
  <c r="C943" i="64"/>
  <c r="C944" i="64"/>
  <c r="C945" i="64"/>
  <c r="C946" i="64"/>
  <c r="C947" i="64"/>
  <c r="C948" i="64"/>
  <c r="C949" i="64"/>
  <c r="C950" i="64"/>
  <c r="C951" i="64"/>
  <c r="C952" i="64"/>
  <c r="C953" i="64"/>
  <c r="C954" i="64"/>
  <c r="C955" i="64"/>
  <c r="C956" i="64"/>
  <c r="C957" i="64"/>
  <c r="C958" i="64"/>
  <c r="C959" i="64"/>
  <c r="C960" i="64"/>
  <c r="C961" i="64"/>
  <c r="C962" i="64"/>
  <c r="C963" i="64"/>
  <c r="C964" i="64"/>
  <c r="C965" i="64"/>
  <c r="C966" i="64"/>
  <c r="C967" i="64"/>
  <c r="C968" i="64"/>
  <c r="C969" i="64"/>
  <c r="C970" i="64"/>
  <c r="C971" i="64"/>
  <c r="C972" i="64"/>
  <c r="C973" i="64"/>
  <c r="C974" i="64"/>
  <c r="C975" i="64"/>
  <c r="C976" i="64"/>
  <c r="C977" i="64"/>
  <c r="C978" i="64"/>
  <c r="C979" i="64"/>
  <c r="C980" i="64"/>
  <c r="C981" i="64"/>
  <c r="C982" i="64"/>
  <c r="C983" i="64"/>
  <c r="C984" i="64"/>
  <c r="C985" i="64"/>
  <c r="C986" i="64"/>
  <c r="C987" i="64"/>
  <c r="C988" i="64"/>
  <c r="C989" i="64"/>
  <c r="C990" i="64"/>
  <c r="C991" i="64"/>
  <c r="C992" i="64"/>
  <c r="C993" i="64"/>
  <c r="C994" i="64"/>
  <c r="C995" i="64"/>
  <c r="C996" i="64"/>
  <c r="C997" i="64"/>
  <c r="C998" i="64"/>
  <c r="C999" i="64"/>
  <c r="C1000" i="64"/>
  <c r="C1001" i="64"/>
  <c r="C1002" i="64"/>
  <c r="C1003" i="64"/>
  <c r="C1004" i="64"/>
  <c r="C1005" i="64"/>
  <c r="C1006" i="64"/>
  <c r="C1007" i="64"/>
  <c r="C1008" i="64"/>
  <c r="C1009" i="64"/>
  <c r="C1010" i="64"/>
  <c r="C1011" i="64"/>
  <c r="C1012" i="64"/>
  <c r="C1013" i="64"/>
  <c r="C1014" i="64"/>
  <c r="C1015" i="64"/>
  <c r="C1016" i="64"/>
  <c r="C1017" i="64"/>
  <c r="C1018" i="64"/>
  <c r="C1019" i="64"/>
  <c r="C1020" i="64"/>
  <c r="C1021" i="64"/>
  <c r="C1022" i="64"/>
  <c r="C1023" i="64"/>
  <c r="C1024" i="64"/>
  <c r="C1025" i="64"/>
  <c r="C1026" i="64"/>
  <c r="C1027" i="64"/>
  <c r="C1028" i="64"/>
  <c r="C1029" i="64"/>
  <c r="C1030" i="64"/>
  <c r="C1031" i="64"/>
  <c r="C1032" i="64"/>
  <c r="C3" i="64"/>
  <c r="D9" i="63"/>
  <c r="E9" i="63"/>
  <c r="F9" i="63"/>
  <c r="G9" i="63"/>
  <c r="H18" i="63" s="1"/>
  <c r="C13" i="63"/>
  <c r="C18" i="63"/>
  <c r="J20" i="60"/>
  <c r="B109" i="57"/>
  <c r="B99" i="57"/>
  <c r="B100" i="57"/>
  <c r="B101" i="57"/>
  <c r="B102" i="57"/>
  <c r="B107" i="57" s="1"/>
  <c r="B19" i="55"/>
  <c r="B103" i="57"/>
  <c r="B44" i="55"/>
  <c r="C8" i="60" s="1"/>
  <c r="C10" i="60" s="1"/>
  <c r="B96" i="57"/>
  <c r="C96" i="57"/>
  <c r="C97" i="57" s="1"/>
  <c r="C98" i="57" s="1"/>
  <c r="C108" i="57" s="1"/>
  <c r="D96" i="57"/>
  <c r="E9" i="60" s="1"/>
  <c r="E10" i="60" s="1"/>
  <c r="E96" i="57"/>
  <c r="E97" i="57"/>
  <c r="E98" i="57"/>
  <c r="E108" i="57" s="1"/>
  <c r="F96" i="57"/>
  <c r="F97" i="57"/>
  <c r="F98" i="57" s="1"/>
  <c r="F108" i="57" s="1"/>
  <c r="G96" i="57"/>
  <c r="G97" i="57" s="1"/>
  <c r="G98" i="57" s="1"/>
  <c r="G108" i="57" s="1"/>
  <c r="H96" i="57"/>
  <c r="I9" i="60" s="1"/>
  <c r="I10" i="60" s="1"/>
  <c r="I96" i="57"/>
  <c r="I97" i="57"/>
  <c r="I98" i="57"/>
  <c r="I108" i="57" s="1"/>
  <c r="K4" i="60"/>
  <c r="L4" i="60"/>
  <c r="M4" i="60"/>
  <c r="N4" i="60"/>
  <c r="O4" i="60"/>
  <c r="P4" i="60"/>
  <c r="K5" i="60"/>
  <c r="L5" i="60"/>
  <c r="M5" i="60"/>
  <c r="N5" i="60"/>
  <c r="O5" i="60"/>
  <c r="P5" i="60"/>
  <c r="J5" i="60"/>
  <c r="J4" i="60"/>
  <c r="J15" i="54"/>
  <c r="J13" i="54"/>
  <c r="K15" i="54"/>
  <c r="K13" i="54"/>
  <c r="L15" i="54"/>
  <c r="L13" i="54"/>
  <c r="M15" i="54"/>
  <c r="M13" i="54"/>
  <c r="N15" i="54"/>
  <c r="N13" i="54"/>
  <c r="O13" i="54"/>
  <c r="O31" i="57"/>
  <c r="O20" i="57"/>
  <c r="P3" i="60"/>
  <c r="N31" i="57"/>
  <c r="N20" i="57"/>
  <c r="O3" i="60"/>
  <c r="M31" i="57"/>
  <c r="M20" i="57"/>
  <c r="N3" i="60"/>
  <c r="L31" i="57"/>
  <c r="L20" i="57"/>
  <c r="M3" i="60"/>
  <c r="K31" i="57"/>
  <c r="K20" i="57"/>
  <c r="L3" i="60"/>
  <c r="J31" i="57"/>
  <c r="J20" i="57"/>
  <c r="K3" i="60"/>
  <c r="J3" i="60"/>
  <c r="J38" i="57"/>
  <c r="O10" i="54"/>
  <c r="J17" i="57"/>
  <c r="J15" i="57"/>
  <c r="D86" i="3"/>
  <c r="C86" i="3"/>
  <c r="D63" i="3"/>
  <c r="C63" i="3"/>
  <c r="R46" i="6"/>
  <c r="Q46" i="6"/>
  <c r="P46" i="6"/>
  <c r="O46" i="6"/>
  <c r="N46" i="6"/>
  <c r="M46" i="6"/>
  <c r="L46" i="6"/>
  <c r="R45" i="6"/>
  <c r="Q45" i="6"/>
  <c r="P45" i="6"/>
  <c r="O45" i="6"/>
  <c r="N45" i="6"/>
  <c r="M45" i="6"/>
  <c r="L45" i="6"/>
  <c r="R44" i="6"/>
  <c r="Q44" i="6"/>
  <c r="P44" i="6"/>
  <c r="O44" i="6"/>
  <c r="N44" i="6"/>
  <c r="M44" i="6"/>
  <c r="L44" i="6"/>
  <c r="K46" i="6"/>
  <c r="K45" i="6"/>
  <c r="K44" i="6"/>
  <c r="I48" i="6"/>
  <c r="H48" i="6"/>
  <c r="G48" i="6"/>
  <c r="F48" i="6"/>
  <c r="E48" i="6"/>
  <c r="D48" i="6"/>
  <c r="C48" i="6"/>
  <c r="B48" i="6"/>
  <c r="I46" i="6"/>
  <c r="H46" i="6"/>
  <c r="G46" i="6"/>
  <c r="F46" i="6"/>
  <c r="E46" i="6"/>
  <c r="D46" i="6"/>
  <c r="C46" i="6"/>
  <c r="B46" i="6"/>
  <c r="I45" i="6"/>
  <c r="H45" i="6"/>
  <c r="G45" i="6"/>
  <c r="F45" i="6"/>
  <c r="E45" i="6"/>
  <c r="D45" i="6"/>
  <c r="C45" i="6"/>
  <c r="I44" i="6"/>
  <c r="H44" i="6"/>
  <c r="G44" i="6"/>
  <c r="F44" i="6"/>
  <c r="E44" i="6"/>
  <c r="D44" i="6"/>
  <c r="C44" i="6"/>
  <c r="B45" i="6"/>
  <c r="B44" i="6"/>
  <c r="I29" i="6"/>
  <c r="B32" i="6"/>
  <c r="R29" i="6"/>
  <c r="H29" i="6"/>
  <c r="Q29" i="6"/>
  <c r="G29" i="6"/>
  <c r="P29" i="6"/>
  <c r="F29" i="6"/>
  <c r="O29" i="6"/>
  <c r="E29" i="6"/>
  <c r="N29" i="6"/>
  <c r="D29" i="6"/>
  <c r="M29" i="6"/>
  <c r="C29" i="6"/>
  <c r="L29" i="6"/>
  <c r="I28" i="6"/>
  <c r="R28" i="6"/>
  <c r="H28" i="6"/>
  <c r="Q28" i="6"/>
  <c r="G28" i="6"/>
  <c r="P28" i="6"/>
  <c r="F28" i="6"/>
  <c r="O28" i="6"/>
  <c r="E28" i="6"/>
  <c r="N28" i="6"/>
  <c r="D28" i="6"/>
  <c r="M28" i="6"/>
  <c r="C28" i="6"/>
  <c r="L28" i="6"/>
  <c r="B29" i="6"/>
  <c r="K29" i="6"/>
  <c r="B28" i="6"/>
  <c r="K28" i="6"/>
  <c r="I25" i="6"/>
  <c r="I26" i="6"/>
  <c r="I27" i="6"/>
  <c r="I30" i="6"/>
  <c r="H25" i="6"/>
  <c r="H26" i="6"/>
  <c r="H27" i="6"/>
  <c r="H30" i="6"/>
  <c r="G25" i="6"/>
  <c r="G26" i="6"/>
  <c r="G27" i="6"/>
  <c r="G30" i="6"/>
  <c r="F25" i="6"/>
  <c r="F26" i="6"/>
  <c r="F27" i="6"/>
  <c r="F30" i="6"/>
  <c r="E25" i="6"/>
  <c r="E26" i="6"/>
  <c r="E27" i="6"/>
  <c r="E30" i="6"/>
  <c r="D25" i="6"/>
  <c r="D26" i="6"/>
  <c r="D27" i="6"/>
  <c r="D30" i="6"/>
  <c r="C25" i="6"/>
  <c r="C26" i="6"/>
  <c r="C27" i="6"/>
  <c r="C30" i="6"/>
  <c r="B25" i="6"/>
  <c r="B26" i="6"/>
  <c r="B27" i="6"/>
  <c r="B30" i="6"/>
  <c r="B16" i="6"/>
  <c r="I6" i="6"/>
  <c r="I7" i="6"/>
  <c r="I8" i="6"/>
  <c r="I9" i="6"/>
  <c r="I10" i="6"/>
  <c r="D10" i="63"/>
  <c r="D16" i="63"/>
  <c r="E10" i="63"/>
  <c r="E16" i="63"/>
  <c r="F10" i="63"/>
  <c r="F16" i="63" s="1"/>
  <c r="D5" i="63"/>
  <c r="D17" i="63"/>
  <c r="E5" i="63"/>
  <c r="E17" i="63" s="1"/>
  <c r="F5" i="63"/>
  <c r="F13" i="63"/>
  <c r="F17" i="63"/>
  <c r="C17" i="63"/>
  <c r="D18" i="63"/>
  <c r="E18" i="63"/>
  <c r="G18" i="63" s="1"/>
  <c r="F18" i="63"/>
  <c r="G11" i="63"/>
  <c r="D8" i="63"/>
  <c r="E8" i="63"/>
  <c r="F8" i="63"/>
  <c r="D7" i="63"/>
  <c r="E7" i="63"/>
  <c r="F7" i="63"/>
  <c r="D6" i="63"/>
  <c r="E6" i="63"/>
  <c r="F6" i="63"/>
  <c r="D4" i="63"/>
  <c r="G4" i="63" s="1"/>
  <c r="E4" i="63"/>
  <c r="F4" i="63"/>
  <c r="E13" i="63"/>
  <c r="D13" i="63"/>
  <c r="C10" i="63"/>
  <c r="C9" i="63"/>
  <c r="C8" i="63"/>
  <c r="I69" i="57"/>
  <c r="I70" i="57"/>
  <c r="I80" i="57"/>
  <c r="I82" i="57"/>
  <c r="H19" i="3"/>
  <c r="C7" i="63"/>
  <c r="C6" i="63"/>
  <c r="C5" i="63"/>
  <c r="C4" i="63"/>
  <c r="O7" i="54"/>
  <c r="O9" i="57"/>
  <c r="O54" i="57"/>
  <c r="J10" i="54"/>
  <c r="J7" i="54"/>
  <c r="J9" i="57"/>
  <c r="J55" i="57"/>
  <c r="K10" i="54"/>
  <c r="K7" i="54"/>
  <c r="K9" i="57"/>
  <c r="K55" i="57"/>
  <c r="L10" i="54"/>
  <c r="L7" i="54"/>
  <c r="L9" i="57"/>
  <c r="L55" i="57"/>
  <c r="M10" i="54"/>
  <c r="M7" i="54"/>
  <c r="M9" i="57"/>
  <c r="M55" i="57"/>
  <c r="N10" i="54"/>
  <c r="N7" i="54"/>
  <c r="N9" i="57"/>
  <c r="N55" i="57"/>
  <c r="O55" i="57"/>
  <c r="J27" i="57"/>
  <c r="K27" i="57"/>
  <c r="L27" i="57"/>
  <c r="M27" i="57"/>
  <c r="N27" i="57"/>
  <c r="O27" i="57"/>
  <c r="O28" i="57"/>
  <c r="O56" i="57"/>
  <c r="O61" i="57"/>
  <c r="J63" i="57"/>
  <c r="K63" i="57"/>
  <c r="L63" i="57"/>
  <c r="M63" i="57"/>
  <c r="N63" i="57"/>
  <c r="O63" i="57"/>
  <c r="J64" i="57"/>
  <c r="K64" i="57"/>
  <c r="L64" i="57"/>
  <c r="M64" i="57"/>
  <c r="N64" i="57"/>
  <c r="O64" i="57"/>
  <c r="J65" i="57"/>
  <c r="K65" i="57"/>
  <c r="L65" i="57"/>
  <c r="M65" i="57"/>
  <c r="N65" i="57"/>
  <c r="O65" i="57"/>
  <c r="J66" i="57"/>
  <c r="K66" i="57"/>
  <c r="L66" i="57"/>
  <c r="M66" i="57"/>
  <c r="N66" i="57"/>
  <c r="O66" i="57"/>
  <c r="J67" i="57"/>
  <c r="K67" i="57"/>
  <c r="L67" i="57"/>
  <c r="M67" i="57"/>
  <c r="N67" i="57"/>
  <c r="O67" i="57"/>
  <c r="J68" i="57"/>
  <c r="K68" i="57"/>
  <c r="L68" i="57"/>
  <c r="M68" i="57"/>
  <c r="N68" i="57"/>
  <c r="O68" i="57"/>
  <c r="O69" i="57"/>
  <c r="O70" i="57"/>
  <c r="O25" i="57"/>
  <c r="O29" i="57"/>
  <c r="O76" i="57"/>
  <c r="O79" i="57"/>
  <c r="O80" i="57"/>
  <c r="N54" i="57"/>
  <c r="N28" i="57"/>
  <c r="N56" i="57"/>
  <c r="N61" i="57"/>
  <c r="N69" i="57"/>
  <c r="N70" i="57"/>
  <c r="N25" i="57"/>
  <c r="N29" i="57"/>
  <c r="N76" i="57"/>
  <c r="N79" i="57"/>
  <c r="N80" i="57"/>
  <c r="M54" i="57"/>
  <c r="M28" i="57"/>
  <c r="M56" i="57"/>
  <c r="M61" i="57"/>
  <c r="M69" i="57"/>
  <c r="M70" i="57"/>
  <c r="M25" i="57"/>
  <c r="M29" i="57"/>
  <c r="M76" i="57"/>
  <c r="M79" i="57"/>
  <c r="M80" i="57"/>
  <c r="L54" i="57"/>
  <c r="L28" i="57"/>
  <c r="L56" i="57"/>
  <c r="L61" i="57"/>
  <c r="L69" i="57"/>
  <c r="L70" i="57"/>
  <c r="L25" i="57"/>
  <c r="L29" i="57"/>
  <c r="L76" i="57"/>
  <c r="L79" i="57"/>
  <c r="L80" i="57"/>
  <c r="K54" i="57"/>
  <c r="K28" i="57"/>
  <c r="K56" i="57"/>
  <c r="K61" i="57"/>
  <c r="K69" i="57"/>
  <c r="K70" i="57"/>
  <c r="K25" i="57"/>
  <c r="K29" i="57"/>
  <c r="K76" i="57"/>
  <c r="K79" i="57"/>
  <c r="K80" i="57"/>
  <c r="J54" i="57"/>
  <c r="J28" i="57"/>
  <c r="J56" i="57"/>
  <c r="J61" i="57"/>
  <c r="J69" i="57"/>
  <c r="J70" i="57"/>
  <c r="J25" i="57"/>
  <c r="J29" i="57"/>
  <c r="J76" i="57"/>
  <c r="J79" i="57"/>
  <c r="J80" i="57"/>
  <c r="B9" i="44"/>
  <c r="C33" i="44"/>
  <c r="D33" i="44"/>
  <c r="B42" i="55"/>
  <c r="B41" i="55"/>
  <c r="C41" i="55"/>
  <c r="D41" i="55"/>
  <c r="E41" i="55"/>
  <c r="F41" i="55"/>
  <c r="G41" i="55"/>
  <c r="H41" i="55"/>
  <c r="I41" i="55"/>
  <c r="C42" i="55"/>
  <c r="C43" i="55"/>
  <c r="B43" i="55"/>
  <c r="C44" i="55"/>
  <c r="C95" i="57"/>
  <c r="C23" i="55"/>
  <c r="C92" i="57"/>
  <c r="C34" i="55"/>
  <c r="C93" i="57"/>
  <c r="C94" i="57"/>
  <c r="B16" i="55"/>
  <c r="B17" i="55"/>
  <c r="B18" i="55"/>
  <c r="C16" i="55"/>
  <c r="C18" i="55"/>
  <c r="C19" i="55"/>
  <c r="C103" i="57"/>
  <c r="C106" i="57"/>
  <c r="C69" i="57"/>
  <c r="B69" i="57"/>
  <c r="C100" i="57"/>
  <c r="C107" i="57"/>
  <c r="B23" i="55"/>
  <c r="B92" i="57"/>
  <c r="B34" i="55"/>
  <c r="B93" i="57"/>
  <c r="B106" i="57"/>
  <c r="B94" i="57"/>
  <c r="D42" i="55"/>
  <c r="D43" i="55"/>
  <c r="D44" i="55"/>
  <c r="D95" i="57"/>
  <c r="D23" i="55"/>
  <c r="D92" i="57"/>
  <c r="D34" i="55"/>
  <c r="D93" i="57"/>
  <c r="D94" i="57"/>
  <c r="C17" i="55"/>
  <c r="D16" i="55"/>
  <c r="D18" i="55"/>
  <c r="D19" i="55"/>
  <c r="D103" i="57"/>
  <c r="D106" i="57"/>
  <c r="D69" i="57"/>
  <c r="D100" i="57"/>
  <c r="D107" i="57"/>
  <c r="E42" i="55"/>
  <c r="E43" i="55"/>
  <c r="E44" i="55"/>
  <c r="E95" i="57"/>
  <c r="E23" i="55"/>
  <c r="E92" i="57"/>
  <c r="E34" i="55"/>
  <c r="E93" i="57"/>
  <c r="E94" i="57"/>
  <c r="D17" i="55"/>
  <c r="E16" i="55"/>
  <c r="E18" i="55"/>
  <c r="E19" i="55"/>
  <c r="E103" i="57"/>
  <c r="E106" i="57"/>
  <c r="E69" i="57"/>
  <c r="E100" i="57"/>
  <c r="E107" i="57"/>
  <c r="F42" i="55"/>
  <c r="F43" i="55"/>
  <c r="F44" i="55"/>
  <c r="F95" i="57"/>
  <c r="F23" i="55"/>
  <c r="F92" i="57"/>
  <c r="F34" i="55"/>
  <c r="F93" i="57"/>
  <c r="F94" i="57"/>
  <c r="E17" i="55"/>
  <c r="F16" i="55"/>
  <c r="F18" i="55"/>
  <c r="F19" i="55"/>
  <c r="F103" i="57"/>
  <c r="F106" i="57"/>
  <c r="F69" i="57"/>
  <c r="F100" i="57"/>
  <c r="F107" i="57"/>
  <c r="G42" i="55"/>
  <c r="G43" i="55"/>
  <c r="G44" i="55"/>
  <c r="G95" i="57"/>
  <c r="G23" i="55"/>
  <c r="G92" i="57"/>
  <c r="G34" i="55"/>
  <c r="G93" i="57"/>
  <c r="G94" i="57"/>
  <c r="F17" i="55"/>
  <c r="G16" i="55"/>
  <c r="G18" i="55"/>
  <c r="G19" i="55"/>
  <c r="G103" i="57"/>
  <c r="G106" i="57"/>
  <c r="G69" i="57"/>
  <c r="G100" i="57"/>
  <c r="G107" i="57"/>
  <c r="H42" i="55"/>
  <c r="H43" i="55"/>
  <c r="H44" i="55"/>
  <c r="H95" i="57"/>
  <c r="H23" i="55"/>
  <c r="H92" i="57"/>
  <c r="H34" i="55"/>
  <c r="H93" i="57"/>
  <c r="H94" i="57"/>
  <c r="G17" i="55"/>
  <c r="H16" i="55"/>
  <c r="H18" i="55"/>
  <c r="H19" i="55"/>
  <c r="H103" i="57"/>
  <c r="H106" i="57"/>
  <c r="H69" i="57"/>
  <c r="H100" i="57"/>
  <c r="H107" i="57"/>
  <c r="I42" i="55"/>
  <c r="I43" i="55"/>
  <c r="I44" i="55"/>
  <c r="I95" i="57"/>
  <c r="I23" i="55"/>
  <c r="I92" i="57"/>
  <c r="I34" i="55"/>
  <c r="I93" i="57"/>
  <c r="I94" i="57"/>
  <c r="H17" i="55"/>
  <c r="I16" i="55"/>
  <c r="I18" i="55"/>
  <c r="I19" i="55"/>
  <c r="I103" i="57"/>
  <c r="I106" i="57"/>
  <c r="I100" i="57"/>
  <c r="I107" i="57"/>
  <c r="I11" i="55"/>
  <c r="J11" i="55"/>
  <c r="I13" i="55"/>
  <c r="J13" i="55"/>
  <c r="I27" i="55"/>
  <c r="I22" i="55"/>
  <c r="I29" i="55"/>
  <c r="J29" i="55"/>
  <c r="J23" i="55"/>
  <c r="I36" i="55"/>
  <c r="J33" i="55"/>
  <c r="H36" i="55"/>
  <c r="I33" i="55"/>
  <c r="I38" i="55"/>
  <c r="J38" i="55"/>
  <c r="J34" i="55"/>
  <c r="J42" i="55"/>
  <c r="K11" i="55"/>
  <c r="K13" i="55"/>
  <c r="J22" i="55"/>
  <c r="I24" i="55"/>
  <c r="I30" i="55"/>
  <c r="J30" i="55"/>
  <c r="J24" i="55"/>
  <c r="J27" i="55"/>
  <c r="K29" i="55"/>
  <c r="K23" i="55"/>
  <c r="J36" i="55"/>
  <c r="K33" i="55"/>
  <c r="K38" i="55"/>
  <c r="K34" i="55"/>
  <c r="K42" i="55"/>
  <c r="L11" i="55"/>
  <c r="L13" i="55"/>
  <c r="K22" i="55"/>
  <c r="K30" i="55"/>
  <c r="K24" i="55"/>
  <c r="K27" i="55"/>
  <c r="L29" i="55"/>
  <c r="L23" i="55"/>
  <c r="K36" i="55"/>
  <c r="L33" i="55"/>
  <c r="L38" i="55"/>
  <c r="L34" i="55"/>
  <c r="L42" i="55"/>
  <c r="M11" i="55"/>
  <c r="M13" i="55"/>
  <c r="L22" i="55"/>
  <c r="L30" i="55"/>
  <c r="L24" i="55"/>
  <c r="L27" i="55"/>
  <c r="M29" i="55"/>
  <c r="M23" i="55"/>
  <c r="L36" i="55"/>
  <c r="M33" i="55"/>
  <c r="M38" i="55"/>
  <c r="M34" i="55"/>
  <c r="M42" i="55"/>
  <c r="N11" i="55"/>
  <c r="N13" i="55"/>
  <c r="M22" i="55"/>
  <c r="M30" i="55"/>
  <c r="M24" i="55"/>
  <c r="M27" i="55"/>
  <c r="N29" i="55"/>
  <c r="N23" i="55"/>
  <c r="M36" i="55"/>
  <c r="N33" i="55"/>
  <c r="N38" i="55"/>
  <c r="N34" i="55"/>
  <c r="N42" i="55"/>
  <c r="O13" i="55"/>
  <c r="N22" i="55"/>
  <c r="N30" i="55"/>
  <c r="N24" i="55"/>
  <c r="N27" i="55"/>
  <c r="O23" i="55"/>
  <c r="N36" i="55"/>
  <c r="O33" i="55"/>
  <c r="O34" i="55"/>
  <c r="O42" i="55"/>
  <c r="J44" i="57"/>
  <c r="J45" i="57"/>
  <c r="J46" i="57"/>
  <c r="J49" i="57"/>
  <c r="J99" i="57"/>
  <c r="I17" i="55"/>
  <c r="J16" i="55"/>
  <c r="J19" i="55"/>
  <c r="J103" i="57"/>
  <c r="J92" i="57"/>
  <c r="J93" i="57"/>
  <c r="J106" i="57"/>
  <c r="J100" i="57"/>
  <c r="J107" i="57"/>
  <c r="J90" i="57"/>
  <c r="J91" i="57"/>
  <c r="J94" i="57"/>
  <c r="I5" i="55"/>
  <c r="J5" i="55"/>
  <c r="I7" i="55"/>
  <c r="J7" i="55"/>
  <c r="J39" i="57"/>
  <c r="K5" i="55"/>
  <c r="K38" i="57"/>
  <c r="K7" i="55"/>
  <c r="K39" i="57"/>
  <c r="L5" i="55"/>
  <c r="L38" i="57"/>
  <c r="L7" i="55"/>
  <c r="L39" i="57"/>
  <c r="M5" i="55"/>
  <c r="M38" i="57"/>
  <c r="M7" i="55"/>
  <c r="M39" i="57"/>
  <c r="N5" i="55"/>
  <c r="N38" i="57"/>
  <c r="N7" i="55"/>
  <c r="N39" i="57"/>
  <c r="O38" i="57"/>
  <c r="O39" i="57"/>
  <c r="B6" i="6"/>
  <c r="B51" i="6"/>
  <c r="C6" i="6"/>
  <c r="C51" i="6"/>
  <c r="D6" i="6"/>
  <c r="D51" i="6"/>
  <c r="E6" i="6"/>
  <c r="E51" i="6"/>
  <c r="F6" i="6"/>
  <c r="F51" i="6"/>
  <c r="G6" i="6"/>
  <c r="G51" i="6"/>
  <c r="H6" i="6"/>
  <c r="H51" i="6"/>
  <c r="I51" i="6"/>
  <c r="K51" i="6"/>
  <c r="B6" i="61"/>
  <c r="H12" i="61"/>
  <c r="H6" i="61"/>
  <c r="B165" i="6"/>
  <c r="K6" i="6"/>
  <c r="B7" i="6"/>
  <c r="K7" i="6"/>
  <c r="K8" i="6"/>
  <c r="B167" i="6"/>
  <c r="B52" i="6"/>
  <c r="C165" i="6"/>
  <c r="L6" i="6"/>
  <c r="C7" i="6"/>
  <c r="L7" i="6"/>
  <c r="L8" i="6"/>
  <c r="C167" i="6"/>
  <c r="C52" i="6"/>
  <c r="D165" i="6"/>
  <c r="M6" i="6"/>
  <c r="D7" i="6"/>
  <c r="M7" i="6"/>
  <c r="M8" i="6"/>
  <c r="D167" i="6"/>
  <c r="D52" i="6"/>
  <c r="E165" i="6"/>
  <c r="N6" i="6"/>
  <c r="E7" i="6"/>
  <c r="N7" i="6"/>
  <c r="N8" i="6"/>
  <c r="E167" i="6"/>
  <c r="E52" i="6"/>
  <c r="F165" i="6"/>
  <c r="O6" i="6"/>
  <c r="F7" i="6"/>
  <c r="O7" i="6"/>
  <c r="O8" i="6"/>
  <c r="F167" i="6"/>
  <c r="F52" i="6"/>
  <c r="G165" i="6"/>
  <c r="P6" i="6"/>
  <c r="G7" i="6"/>
  <c r="P7" i="6"/>
  <c r="P8" i="6"/>
  <c r="G167" i="6"/>
  <c r="G52" i="6"/>
  <c r="H165" i="6"/>
  <c r="Q6" i="6"/>
  <c r="H7" i="6"/>
  <c r="Q7" i="6"/>
  <c r="Q8" i="6"/>
  <c r="H167" i="6"/>
  <c r="H52" i="6"/>
  <c r="I165" i="6"/>
  <c r="R6" i="6"/>
  <c r="R7" i="6"/>
  <c r="R8" i="6"/>
  <c r="I167" i="6"/>
  <c r="I52" i="6"/>
  <c r="K52" i="6"/>
  <c r="B7" i="61"/>
  <c r="H13" i="61"/>
  <c r="H7" i="61"/>
  <c r="B65" i="6"/>
  <c r="B69" i="6"/>
  <c r="B72" i="6"/>
  <c r="C65" i="6"/>
  <c r="C69" i="6"/>
  <c r="C72" i="6"/>
  <c r="D65" i="6"/>
  <c r="D69" i="6"/>
  <c r="D72" i="6"/>
  <c r="E65" i="6"/>
  <c r="E69" i="6"/>
  <c r="E72" i="6"/>
  <c r="F65" i="6"/>
  <c r="F69" i="6"/>
  <c r="F72" i="6"/>
  <c r="G65" i="6"/>
  <c r="G69" i="6"/>
  <c r="G72" i="6"/>
  <c r="H65" i="6"/>
  <c r="H69" i="6"/>
  <c r="H72" i="6"/>
  <c r="I65" i="6"/>
  <c r="I69" i="6"/>
  <c r="I72" i="6"/>
  <c r="K72" i="6"/>
  <c r="B9" i="61"/>
  <c r="H9" i="61"/>
  <c r="B35" i="6"/>
  <c r="B60" i="6"/>
  <c r="B57" i="6"/>
  <c r="B59" i="6"/>
  <c r="B58" i="6"/>
  <c r="B61" i="6"/>
  <c r="B53" i="6"/>
  <c r="C35" i="6"/>
  <c r="C60" i="6"/>
  <c r="C57" i="6"/>
  <c r="C59" i="6"/>
  <c r="C58" i="6"/>
  <c r="C61" i="6"/>
  <c r="C53" i="6"/>
  <c r="D35" i="6"/>
  <c r="D60" i="6"/>
  <c r="D57" i="6"/>
  <c r="D59" i="6"/>
  <c r="D58" i="6"/>
  <c r="D61" i="6"/>
  <c r="D53" i="6"/>
  <c r="E35" i="6"/>
  <c r="E60" i="6"/>
  <c r="E57" i="6"/>
  <c r="E59" i="6"/>
  <c r="E58" i="6"/>
  <c r="E61" i="6"/>
  <c r="E53" i="6"/>
  <c r="F35" i="6"/>
  <c r="F60" i="6"/>
  <c r="F57" i="6"/>
  <c r="F59" i="6"/>
  <c r="F58" i="6"/>
  <c r="F61" i="6"/>
  <c r="F53" i="6"/>
  <c r="G35" i="6"/>
  <c r="G60" i="6"/>
  <c r="G57" i="6"/>
  <c r="G59" i="6"/>
  <c r="G58" i="6"/>
  <c r="G61" i="6"/>
  <c r="G53" i="6"/>
  <c r="H35" i="6"/>
  <c r="H60" i="6"/>
  <c r="H57" i="6"/>
  <c r="H59" i="6"/>
  <c r="H58" i="6"/>
  <c r="H61" i="6"/>
  <c r="H53" i="6"/>
  <c r="I35" i="6"/>
  <c r="I60" i="6"/>
  <c r="I57" i="6"/>
  <c r="I59" i="6"/>
  <c r="I58" i="6"/>
  <c r="I61" i="6"/>
  <c r="I53" i="6"/>
  <c r="K53" i="6"/>
  <c r="B8" i="61"/>
  <c r="H19" i="61"/>
  <c r="G13" i="61"/>
  <c r="G7" i="61"/>
  <c r="G18" i="61"/>
  <c r="H16" i="61"/>
  <c r="H18" i="61"/>
  <c r="H17" i="61"/>
  <c r="H8" i="61"/>
  <c r="H10" i="61"/>
  <c r="G12" i="61"/>
  <c r="G6" i="61"/>
  <c r="G9" i="61"/>
  <c r="G19" i="61"/>
  <c r="F13" i="61"/>
  <c r="F7" i="61"/>
  <c r="F18" i="61"/>
  <c r="G16" i="61"/>
  <c r="G17" i="61"/>
  <c r="G8" i="61"/>
  <c r="G10" i="61"/>
  <c r="F12" i="61"/>
  <c r="F6" i="61"/>
  <c r="F9" i="61"/>
  <c r="F19" i="61"/>
  <c r="E13" i="61"/>
  <c r="E7" i="61"/>
  <c r="E18" i="61"/>
  <c r="F16" i="61"/>
  <c r="F17" i="61"/>
  <c r="F8" i="61"/>
  <c r="F10" i="61"/>
  <c r="E12" i="61"/>
  <c r="E6" i="61"/>
  <c r="E9" i="61"/>
  <c r="E19" i="61"/>
  <c r="D13" i="61"/>
  <c r="D7" i="61"/>
  <c r="D18" i="61"/>
  <c r="E16" i="61"/>
  <c r="E17" i="61"/>
  <c r="E8" i="61"/>
  <c r="E10" i="61"/>
  <c r="D12" i="61"/>
  <c r="D6" i="61"/>
  <c r="D9" i="61"/>
  <c r="D19" i="61"/>
  <c r="D16" i="61"/>
  <c r="D17" i="61"/>
  <c r="D8" i="61"/>
  <c r="D10" i="61"/>
  <c r="H20" i="61"/>
  <c r="G20" i="61"/>
  <c r="F20" i="61"/>
  <c r="E20" i="61"/>
  <c r="D20" i="61"/>
  <c r="H14" i="61"/>
  <c r="G14" i="61"/>
  <c r="F14" i="61"/>
  <c r="E14" i="61"/>
  <c r="D14" i="61"/>
  <c r="O72" i="6"/>
  <c r="O53" i="6"/>
  <c r="O52" i="6"/>
  <c r="O51" i="6"/>
  <c r="B9" i="12"/>
  <c r="I16" i="12"/>
  <c r="H16" i="12"/>
  <c r="G16" i="12"/>
  <c r="F16" i="12"/>
  <c r="E16" i="12"/>
  <c r="D16" i="12"/>
  <c r="C16" i="12"/>
  <c r="B16" i="12"/>
  <c r="I77" i="3"/>
  <c r="B6" i="44"/>
  <c r="B7" i="44"/>
  <c r="H30" i="46"/>
  <c r="F30" i="46"/>
  <c r="J39" i="46"/>
  <c r="J38" i="46"/>
  <c r="J37" i="46"/>
  <c r="J36" i="46"/>
  <c r="J35" i="46"/>
  <c r="J34" i="46"/>
  <c r="J33" i="46"/>
  <c r="J32" i="46"/>
  <c r="H19" i="46"/>
  <c r="F19" i="46"/>
  <c r="J26" i="46"/>
  <c r="J25" i="46"/>
  <c r="J24" i="46"/>
  <c r="J23" i="46"/>
  <c r="J22" i="46"/>
  <c r="J21" i="46"/>
  <c r="J9" i="60"/>
  <c r="J10" i="60" s="1"/>
  <c r="I2" i="12"/>
  <c r="I6" i="12"/>
  <c r="I13" i="54"/>
  <c r="I31" i="57"/>
  <c r="J6" i="60"/>
  <c r="I28" i="57"/>
  <c r="J7" i="60"/>
  <c r="J8" i="60"/>
  <c r="H2" i="12"/>
  <c r="H6" i="12"/>
  <c r="H13" i="54"/>
  <c r="H31" i="57"/>
  <c r="I6" i="60"/>
  <c r="H28" i="57"/>
  <c r="I7" i="60"/>
  <c r="I8" i="60"/>
  <c r="G2" i="12"/>
  <c r="G6" i="12"/>
  <c r="G13" i="54"/>
  <c r="G31" i="57"/>
  <c r="H6" i="60"/>
  <c r="G28" i="57"/>
  <c r="H7" i="60"/>
  <c r="H8" i="60"/>
  <c r="G9" i="60"/>
  <c r="F2" i="12"/>
  <c r="F6" i="12"/>
  <c r="F13" i="54"/>
  <c r="F31" i="57"/>
  <c r="G6" i="60"/>
  <c r="F28" i="57"/>
  <c r="G7" i="60"/>
  <c r="G8" i="60"/>
  <c r="G10" i="60"/>
  <c r="F9" i="60"/>
  <c r="F10" i="60" s="1"/>
  <c r="E2" i="12"/>
  <c r="E6" i="12"/>
  <c r="E13" i="54"/>
  <c r="E31" i="57"/>
  <c r="F6" i="60"/>
  <c r="E28" i="57"/>
  <c r="F7" i="60"/>
  <c r="F8" i="60"/>
  <c r="D2" i="12"/>
  <c r="D6" i="12"/>
  <c r="D13" i="54"/>
  <c r="D31" i="57"/>
  <c r="E6" i="60"/>
  <c r="D28" i="57"/>
  <c r="E7" i="60"/>
  <c r="E8" i="60"/>
  <c r="C2" i="12"/>
  <c r="C6" i="12"/>
  <c r="C13" i="54"/>
  <c r="C31" i="57"/>
  <c r="D6" i="60"/>
  <c r="C28" i="57"/>
  <c r="D7" i="60"/>
  <c r="D8" i="60"/>
  <c r="C9" i="60"/>
  <c r="B2" i="12"/>
  <c r="B6" i="12"/>
  <c r="B13" i="54"/>
  <c r="B31" i="57"/>
  <c r="C6" i="60"/>
  <c r="B28" i="57"/>
  <c r="C7" i="60"/>
  <c r="J9" i="39"/>
  <c r="I5" i="54"/>
  <c r="I7" i="57"/>
  <c r="J5" i="54"/>
  <c r="J7" i="57"/>
  <c r="K5" i="54"/>
  <c r="K7" i="57"/>
  <c r="L5" i="54"/>
  <c r="L7" i="57"/>
  <c r="M5" i="54"/>
  <c r="M7" i="57"/>
  <c r="N5" i="54"/>
  <c r="N7" i="57"/>
  <c r="N44" i="57"/>
  <c r="O22" i="55"/>
  <c r="O5" i="54"/>
  <c r="O7" i="57"/>
  <c r="O24" i="55"/>
  <c r="O27" i="55"/>
  <c r="O44" i="57"/>
  <c r="O96" i="57"/>
  <c r="P9" i="60"/>
  <c r="M44" i="57"/>
  <c r="N96" i="57"/>
  <c r="O9" i="60"/>
  <c r="L44" i="57"/>
  <c r="M96" i="57"/>
  <c r="N9" i="60"/>
  <c r="K44" i="57"/>
  <c r="L96" i="57"/>
  <c r="M9" i="60"/>
  <c r="K96" i="57"/>
  <c r="L9" i="60"/>
  <c r="J96" i="57"/>
  <c r="K9" i="60"/>
  <c r="I15" i="54"/>
  <c r="P7" i="60"/>
  <c r="O7" i="60"/>
  <c r="N7" i="60"/>
  <c r="M7" i="60"/>
  <c r="L7" i="60"/>
  <c r="K7" i="60"/>
  <c r="P6" i="60"/>
  <c r="O6" i="60"/>
  <c r="N6" i="60"/>
  <c r="M6" i="60"/>
  <c r="L6" i="60"/>
  <c r="K6" i="60"/>
  <c r="O2" i="55"/>
  <c r="O6" i="57"/>
  <c r="P1" i="60"/>
  <c r="N2" i="55"/>
  <c r="N6" i="57"/>
  <c r="O1" i="60"/>
  <c r="M2" i="55"/>
  <c r="M6" i="57"/>
  <c r="N1" i="60"/>
  <c r="L2" i="55"/>
  <c r="L6" i="57"/>
  <c r="M1" i="60"/>
  <c r="K2" i="55"/>
  <c r="K6" i="57"/>
  <c r="L1" i="60"/>
  <c r="J2" i="55"/>
  <c r="J6" i="57"/>
  <c r="K1" i="60"/>
  <c r="I2" i="55"/>
  <c r="I6" i="57"/>
  <c r="J1" i="60"/>
  <c r="H2" i="55"/>
  <c r="H6" i="57"/>
  <c r="I1" i="60"/>
  <c r="G2" i="55"/>
  <c r="G6" i="57"/>
  <c r="H1" i="60"/>
  <c r="F2" i="55"/>
  <c r="F6" i="57"/>
  <c r="G1" i="60"/>
  <c r="E2" i="55"/>
  <c r="E6" i="57"/>
  <c r="F1" i="60"/>
  <c r="D2" i="55"/>
  <c r="D6" i="57"/>
  <c r="E1" i="60"/>
  <c r="C2" i="55"/>
  <c r="C6" i="57"/>
  <c r="D1" i="60"/>
  <c r="B2" i="55"/>
  <c r="B6" i="57"/>
  <c r="C1" i="60"/>
  <c r="B23" i="57"/>
  <c r="B104" i="57"/>
  <c r="B24" i="57"/>
  <c r="B105" i="57"/>
  <c r="C9" i="39"/>
  <c r="B5" i="54"/>
  <c r="B7" i="57"/>
  <c r="C10" i="39"/>
  <c r="B7" i="54"/>
  <c r="B9" i="57"/>
  <c r="B11" i="57"/>
  <c r="B14" i="57"/>
  <c r="B16" i="57"/>
  <c r="B19" i="57"/>
  <c r="B20" i="57"/>
  <c r="B90" i="57"/>
  <c r="B91" i="57"/>
  <c r="D9" i="39"/>
  <c r="C5" i="54"/>
  <c r="C7" i="57"/>
  <c r="D10" i="39"/>
  <c r="C7" i="54"/>
  <c r="C9" i="57"/>
  <c r="C11" i="57"/>
  <c r="C14" i="57"/>
  <c r="C16" i="57"/>
  <c r="C19" i="57"/>
  <c r="C20" i="57"/>
  <c r="C90" i="57"/>
  <c r="C91" i="57"/>
  <c r="B25" i="57"/>
  <c r="B29" i="57"/>
  <c r="C23" i="57"/>
  <c r="C104" i="57"/>
  <c r="C24" i="57"/>
  <c r="C105" i="57"/>
  <c r="E9" i="39"/>
  <c r="D5" i="54"/>
  <c r="D7" i="57"/>
  <c r="E10" i="39"/>
  <c r="D7" i="54"/>
  <c r="D9" i="57"/>
  <c r="D11" i="57"/>
  <c r="D14" i="57"/>
  <c r="D16" i="57"/>
  <c r="D19" i="57"/>
  <c r="D20" i="57"/>
  <c r="D90" i="57"/>
  <c r="D91" i="57"/>
  <c r="C25" i="57"/>
  <c r="C29" i="57"/>
  <c r="D23" i="57"/>
  <c r="D104" i="57"/>
  <c r="D24" i="57"/>
  <c r="D105" i="57"/>
  <c r="F9" i="39"/>
  <c r="E5" i="54"/>
  <c r="E7" i="57"/>
  <c r="F10" i="39"/>
  <c r="E7" i="54"/>
  <c r="E9" i="57"/>
  <c r="E11" i="57"/>
  <c r="E14" i="57"/>
  <c r="E16" i="57"/>
  <c r="E19" i="57"/>
  <c r="E20" i="57"/>
  <c r="E90" i="57"/>
  <c r="E91" i="57"/>
  <c r="D25" i="57"/>
  <c r="D29" i="57"/>
  <c r="E23" i="57"/>
  <c r="E104" i="57"/>
  <c r="E24" i="57"/>
  <c r="E105" i="57"/>
  <c r="G9" i="39"/>
  <c r="F5" i="54"/>
  <c r="F7" i="57"/>
  <c r="G10" i="39"/>
  <c r="F7" i="54"/>
  <c r="F9" i="57"/>
  <c r="F11" i="57"/>
  <c r="F14" i="57"/>
  <c r="F16" i="57"/>
  <c r="F19" i="57"/>
  <c r="F20" i="57"/>
  <c r="F90" i="57"/>
  <c r="F91" i="57"/>
  <c r="E25" i="57"/>
  <c r="E29" i="57"/>
  <c r="F23" i="57"/>
  <c r="F104" i="57"/>
  <c r="F24" i="57"/>
  <c r="F105" i="57"/>
  <c r="H9" i="39"/>
  <c r="G5" i="54"/>
  <c r="G7" i="57"/>
  <c r="H10" i="39"/>
  <c r="G7" i="54"/>
  <c r="G9" i="57"/>
  <c r="G11" i="57"/>
  <c r="G14" i="57"/>
  <c r="G16" i="57"/>
  <c r="G19" i="57"/>
  <c r="G20" i="57"/>
  <c r="G90" i="57"/>
  <c r="G91" i="57"/>
  <c r="F25" i="57"/>
  <c r="F29" i="57"/>
  <c r="G23" i="57"/>
  <c r="G104" i="57"/>
  <c r="G24" i="57"/>
  <c r="G105" i="57"/>
  <c r="I9" i="39"/>
  <c r="H5" i="54"/>
  <c r="H7" i="57"/>
  <c r="I10" i="39"/>
  <c r="H7" i="54"/>
  <c r="H9" i="57"/>
  <c r="H11" i="57"/>
  <c r="H14" i="57"/>
  <c r="H16" i="57"/>
  <c r="H19" i="57"/>
  <c r="H20" i="57"/>
  <c r="H90" i="57"/>
  <c r="H91" i="57"/>
  <c r="G25" i="57"/>
  <c r="G29" i="57"/>
  <c r="H23" i="57"/>
  <c r="H104" i="57"/>
  <c r="H24" i="57"/>
  <c r="H105" i="57"/>
  <c r="J10" i="39"/>
  <c r="I7" i="54"/>
  <c r="I9" i="57"/>
  <c r="I11" i="57"/>
  <c r="I14" i="57"/>
  <c r="I16" i="57"/>
  <c r="I19" i="57"/>
  <c r="I20" i="57"/>
  <c r="I90" i="57"/>
  <c r="I91" i="57"/>
  <c r="H25" i="57"/>
  <c r="H29" i="57"/>
  <c r="I23" i="57"/>
  <c r="I104" i="57"/>
  <c r="I24" i="57"/>
  <c r="I105" i="57"/>
  <c r="K45" i="57"/>
  <c r="L45" i="57"/>
  <c r="M45" i="57"/>
  <c r="N45" i="57"/>
  <c r="N46" i="57"/>
  <c r="N49" i="57"/>
  <c r="O45" i="57"/>
  <c r="O36" i="55"/>
  <c r="O46" i="57"/>
  <c r="O49" i="57"/>
  <c r="O99" i="57"/>
  <c r="J23" i="57"/>
  <c r="K23" i="57"/>
  <c r="L23" i="57"/>
  <c r="M23" i="57"/>
  <c r="N23" i="57"/>
  <c r="J24" i="57"/>
  <c r="K24" i="57"/>
  <c r="L24" i="57"/>
  <c r="M24" i="57"/>
  <c r="N24" i="57"/>
  <c r="N17" i="55"/>
  <c r="N16" i="55"/>
  <c r="O16" i="55"/>
  <c r="O19" i="55"/>
  <c r="O103" i="57"/>
  <c r="O23" i="57"/>
  <c r="O104" i="57"/>
  <c r="O24" i="57"/>
  <c r="O105" i="57"/>
  <c r="O92" i="57"/>
  <c r="O93" i="57"/>
  <c r="O106" i="57"/>
  <c r="O100" i="57"/>
  <c r="O107" i="57"/>
  <c r="M46" i="57"/>
  <c r="M49" i="57"/>
  <c r="N99" i="57"/>
  <c r="M17" i="55"/>
  <c r="M16" i="55"/>
  <c r="N19" i="55"/>
  <c r="N103" i="57"/>
  <c r="N104" i="57"/>
  <c r="N105" i="57"/>
  <c r="N92" i="57"/>
  <c r="N93" i="57"/>
  <c r="N106" i="57"/>
  <c r="N100" i="57"/>
  <c r="N107" i="57"/>
  <c r="L46" i="57"/>
  <c r="L49" i="57"/>
  <c r="M99" i="57"/>
  <c r="L17" i="55"/>
  <c r="L16" i="55"/>
  <c r="M19" i="55"/>
  <c r="M103" i="57"/>
  <c r="M104" i="57"/>
  <c r="M105" i="57"/>
  <c r="M92" i="57"/>
  <c r="M93" i="57"/>
  <c r="M106" i="57"/>
  <c r="M100" i="57"/>
  <c r="M107" i="57"/>
  <c r="K46" i="57"/>
  <c r="K49" i="57"/>
  <c r="L99" i="57"/>
  <c r="K17" i="55"/>
  <c r="K16" i="55"/>
  <c r="L19" i="55"/>
  <c r="L103" i="57"/>
  <c r="L104" i="57"/>
  <c r="L105" i="57"/>
  <c r="L92" i="57"/>
  <c r="L93" i="57"/>
  <c r="L106" i="57"/>
  <c r="L100" i="57"/>
  <c r="L107" i="57"/>
  <c r="K99" i="57"/>
  <c r="J17" i="55"/>
  <c r="K19" i="55"/>
  <c r="K103" i="57"/>
  <c r="K104" i="57"/>
  <c r="K105" i="57"/>
  <c r="K92" i="57"/>
  <c r="K93" i="57"/>
  <c r="K106" i="57"/>
  <c r="K100" i="57"/>
  <c r="K107" i="57"/>
  <c r="I25" i="57"/>
  <c r="I29" i="57"/>
  <c r="J104" i="57"/>
  <c r="J105" i="57"/>
  <c r="O102" i="57"/>
  <c r="N102" i="57"/>
  <c r="M102" i="57"/>
  <c r="L102" i="57"/>
  <c r="K102" i="57"/>
  <c r="J102" i="57"/>
  <c r="O101" i="57"/>
  <c r="N101" i="57"/>
  <c r="M101" i="57"/>
  <c r="L101" i="57"/>
  <c r="K101" i="57"/>
  <c r="J101" i="57"/>
  <c r="O90" i="57"/>
  <c r="O91" i="57"/>
  <c r="O94" i="57"/>
  <c r="N90" i="57"/>
  <c r="N91" i="57"/>
  <c r="N94" i="57"/>
  <c r="M90" i="57"/>
  <c r="M91" i="57"/>
  <c r="M94" i="57"/>
  <c r="L90" i="57"/>
  <c r="L91" i="57"/>
  <c r="L94" i="57"/>
  <c r="K90" i="57"/>
  <c r="K91" i="57"/>
  <c r="K94" i="57"/>
  <c r="E99" i="57"/>
  <c r="I99" i="57"/>
  <c r="H99" i="57"/>
  <c r="G99" i="57"/>
  <c r="F99" i="57"/>
  <c r="D99" i="57"/>
  <c r="I101" i="57"/>
  <c r="H101" i="57"/>
  <c r="I102" i="57"/>
  <c r="H102" i="57"/>
  <c r="G102" i="57"/>
  <c r="F102" i="57"/>
  <c r="E102" i="57"/>
  <c r="D102" i="57"/>
  <c r="C102" i="57"/>
  <c r="G101" i="57"/>
  <c r="F101" i="57"/>
  <c r="E101" i="57"/>
  <c r="D101" i="57"/>
  <c r="C101" i="57"/>
  <c r="C99" i="57"/>
  <c r="I9" i="54"/>
  <c r="I10" i="54"/>
  <c r="J57" i="57"/>
  <c r="K57" i="57"/>
  <c r="L57" i="57"/>
  <c r="M57" i="57"/>
  <c r="N57" i="57"/>
  <c r="O57" i="57"/>
  <c r="K78" i="57"/>
  <c r="L78" i="57"/>
  <c r="M78" i="57"/>
  <c r="N78" i="57"/>
  <c r="O78" i="57"/>
  <c r="K77" i="57"/>
  <c r="L77" i="57"/>
  <c r="M77" i="57"/>
  <c r="N77" i="57"/>
  <c r="O77" i="57"/>
  <c r="J78" i="57"/>
  <c r="J77" i="57"/>
  <c r="K75" i="57"/>
  <c r="L75" i="57"/>
  <c r="M75" i="57"/>
  <c r="N75" i="57"/>
  <c r="O75" i="57"/>
  <c r="J75" i="57"/>
  <c r="K74" i="57"/>
  <c r="L74" i="57"/>
  <c r="M74" i="57"/>
  <c r="N74" i="57"/>
  <c r="O74" i="57"/>
  <c r="K73" i="57"/>
  <c r="L73" i="57"/>
  <c r="M73" i="57"/>
  <c r="N73" i="57"/>
  <c r="O73" i="57"/>
  <c r="J73" i="57"/>
  <c r="J74" i="57"/>
  <c r="K72" i="57"/>
  <c r="L72" i="57"/>
  <c r="M72" i="57"/>
  <c r="N72" i="57"/>
  <c r="O72" i="57"/>
  <c r="J72" i="57"/>
  <c r="K60" i="57"/>
  <c r="L60" i="57"/>
  <c r="M60" i="57"/>
  <c r="N60" i="57"/>
  <c r="O60" i="57"/>
  <c r="J60" i="57"/>
  <c r="K59" i="57"/>
  <c r="L59" i="57"/>
  <c r="M59" i="57"/>
  <c r="N59" i="57"/>
  <c r="O59" i="57"/>
  <c r="J59" i="57"/>
  <c r="K58" i="57"/>
  <c r="L58" i="57"/>
  <c r="M58" i="57"/>
  <c r="N58" i="57"/>
  <c r="O58" i="57"/>
  <c r="J58" i="57"/>
  <c r="K53" i="57"/>
  <c r="L53" i="57"/>
  <c r="M53" i="57"/>
  <c r="N53" i="57"/>
  <c r="O53" i="57"/>
  <c r="J53" i="57"/>
  <c r="K48" i="57"/>
  <c r="L48" i="57"/>
  <c r="M48" i="57"/>
  <c r="N48" i="57"/>
  <c r="O48" i="57"/>
  <c r="J48" i="57"/>
  <c r="K47" i="57"/>
  <c r="L47" i="57"/>
  <c r="M47" i="57"/>
  <c r="N47" i="57"/>
  <c r="O47" i="57"/>
  <c r="J47" i="57"/>
  <c r="K43" i="57"/>
  <c r="L43" i="57"/>
  <c r="M43" i="57"/>
  <c r="N43" i="57"/>
  <c r="O43" i="57"/>
  <c r="J43" i="57"/>
  <c r="K40" i="57"/>
  <c r="L40" i="57"/>
  <c r="M40" i="57"/>
  <c r="N40" i="57"/>
  <c r="O40" i="57"/>
  <c r="J40" i="57"/>
  <c r="K37" i="57"/>
  <c r="L37" i="57"/>
  <c r="M37" i="57"/>
  <c r="N37" i="57"/>
  <c r="O37" i="57"/>
  <c r="J37" i="57"/>
  <c r="O21" i="57"/>
  <c r="N21" i="57"/>
  <c r="M21" i="57"/>
  <c r="L21" i="57"/>
  <c r="K21" i="57"/>
  <c r="J21" i="57"/>
  <c r="I17" i="57"/>
  <c r="K17" i="57"/>
  <c r="L17" i="57"/>
  <c r="M17" i="57"/>
  <c r="N17" i="57"/>
  <c r="O17" i="57"/>
  <c r="O11" i="57"/>
  <c r="O19" i="57"/>
  <c r="O16" i="57"/>
  <c r="N11" i="57"/>
  <c r="N19" i="57"/>
  <c r="N16" i="57"/>
  <c r="M11" i="57"/>
  <c r="M19" i="57"/>
  <c r="M16" i="57"/>
  <c r="L11" i="57"/>
  <c r="L19" i="57"/>
  <c r="L16" i="57"/>
  <c r="K11" i="57"/>
  <c r="K19" i="57"/>
  <c r="K16" i="57"/>
  <c r="J11" i="57"/>
  <c r="J19" i="57"/>
  <c r="J16" i="57"/>
  <c r="I15" i="57"/>
  <c r="K15" i="57"/>
  <c r="L15" i="57"/>
  <c r="M15" i="57"/>
  <c r="N15" i="57"/>
  <c r="O15" i="57"/>
  <c r="O14" i="57"/>
  <c r="N14" i="57"/>
  <c r="M14" i="57"/>
  <c r="L14" i="57"/>
  <c r="K14" i="57"/>
  <c r="J14" i="57"/>
  <c r="O17" i="55"/>
  <c r="I12" i="55"/>
  <c r="J12" i="55"/>
  <c r="K12" i="55"/>
  <c r="L12" i="55"/>
  <c r="M12" i="55"/>
  <c r="N12" i="55"/>
  <c r="O12" i="55"/>
  <c r="I9" i="55"/>
  <c r="J9" i="55"/>
  <c r="K9" i="55"/>
  <c r="L9" i="55"/>
  <c r="M9" i="55"/>
  <c r="N9" i="55"/>
  <c r="O9" i="55"/>
  <c r="I6" i="55"/>
  <c r="J6" i="55"/>
  <c r="K6" i="55"/>
  <c r="L6" i="55"/>
  <c r="M6" i="55"/>
  <c r="N6" i="55"/>
  <c r="G36" i="55"/>
  <c r="H33" i="55"/>
  <c r="H38" i="55"/>
  <c r="F36" i="55"/>
  <c r="G33" i="55"/>
  <c r="G38" i="55"/>
  <c r="E36" i="55"/>
  <c r="F33" i="55"/>
  <c r="F38" i="55"/>
  <c r="D36" i="55"/>
  <c r="E33" i="55"/>
  <c r="E38" i="55"/>
  <c r="C36" i="55"/>
  <c r="D33" i="55"/>
  <c r="D38" i="55"/>
  <c r="B36" i="55"/>
  <c r="C33" i="55"/>
  <c r="C38" i="55"/>
  <c r="B33" i="55"/>
  <c r="B38" i="55"/>
  <c r="C35" i="55"/>
  <c r="I35" i="55"/>
  <c r="H35" i="55"/>
  <c r="G35" i="55"/>
  <c r="F35" i="55"/>
  <c r="E35" i="55"/>
  <c r="D35" i="55"/>
  <c r="B35" i="55"/>
  <c r="H24" i="55"/>
  <c r="H30" i="55"/>
  <c r="G24" i="55"/>
  <c r="G30" i="55"/>
  <c r="F24" i="55"/>
  <c r="F30" i="55"/>
  <c r="E24" i="55"/>
  <c r="E30" i="55"/>
  <c r="D24" i="55"/>
  <c r="D30" i="55"/>
  <c r="C24" i="55"/>
  <c r="C30" i="55"/>
  <c r="H22" i="55"/>
  <c r="H29" i="55"/>
  <c r="G22" i="55"/>
  <c r="G29" i="55"/>
  <c r="F22" i="55"/>
  <c r="F29" i="55"/>
  <c r="E22" i="55"/>
  <c r="E29" i="55"/>
  <c r="D22" i="55"/>
  <c r="D29" i="55"/>
  <c r="C22" i="55"/>
  <c r="C29" i="55"/>
  <c r="B24" i="55"/>
  <c r="B30" i="55"/>
  <c r="B22" i="55"/>
  <c r="B29" i="55"/>
  <c r="H27" i="55"/>
  <c r="G27" i="55"/>
  <c r="F27" i="55"/>
  <c r="E27" i="55"/>
  <c r="D27" i="55"/>
  <c r="C27" i="55"/>
  <c r="I26" i="55"/>
  <c r="H26" i="55"/>
  <c r="G26" i="55"/>
  <c r="F26" i="55"/>
  <c r="E26" i="55"/>
  <c r="D26" i="55"/>
  <c r="C26" i="55"/>
  <c r="B27" i="55"/>
  <c r="B26" i="55"/>
  <c r="H13" i="55"/>
  <c r="G13" i="55"/>
  <c r="F13" i="55"/>
  <c r="E13" i="55"/>
  <c r="D13" i="55"/>
  <c r="C13" i="55"/>
  <c r="B13" i="55"/>
  <c r="H12" i="55"/>
  <c r="G12" i="55"/>
  <c r="F12" i="55"/>
  <c r="E12" i="55"/>
  <c r="D12" i="55"/>
  <c r="C12" i="55"/>
  <c r="B12" i="55"/>
  <c r="H11" i="55"/>
  <c r="G11" i="55"/>
  <c r="F11" i="55"/>
  <c r="E11" i="55"/>
  <c r="D11" i="55"/>
  <c r="C11" i="55"/>
  <c r="B11" i="55"/>
  <c r="H9" i="55"/>
  <c r="G9" i="55"/>
  <c r="F9" i="55"/>
  <c r="E9" i="55"/>
  <c r="D9" i="55"/>
  <c r="C9" i="55"/>
  <c r="B9" i="55"/>
  <c r="H7" i="55"/>
  <c r="G7" i="55"/>
  <c r="F7" i="55"/>
  <c r="E7" i="55"/>
  <c r="D7" i="55"/>
  <c r="C7" i="55"/>
  <c r="B7" i="55"/>
  <c r="H6" i="55"/>
  <c r="G6" i="55"/>
  <c r="F6" i="55"/>
  <c r="E6" i="55"/>
  <c r="D6" i="55"/>
  <c r="C6" i="55"/>
  <c r="B6" i="55"/>
  <c r="H5" i="55"/>
  <c r="G5" i="55"/>
  <c r="F5" i="55"/>
  <c r="E5" i="55"/>
  <c r="D5" i="55"/>
  <c r="C5" i="55"/>
  <c r="B5" i="55"/>
  <c r="O34" i="57"/>
  <c r="O88" i="57"/>
  <c r="N34" i="57"/>
  <c r="N88" i="57"/>
  <c r="M34" i="57"/>
  <c r="M88" i="57"/>
  <c r="L34" i="57"/>
  <c r="L88" i="57"/>
  <c r="K34" i="57"/>
  <c r="K88" i="57"/>
  <c r="J34" i="57"/>
  <c r="J88" i="57"/>
  <c r="I34" i="57"/>
  <c r="I88" i="57"/>
  <c r="H34" i="57"/>
  <c r="H88" i="57"/>
  <c r="G34" i="57"/>
  <c r="G88" i="57"/>
  <c r="F34" i="57"/>
  <c r="F88" i="57"/>
  <c r="E34" i="57"/>
  <c r="E88" i="57"/>
  <c r="D34" i="57"/>
  <c r="D88" i="57"/>
  <c r="C34" i="57"/>
  <c r="C88" i="57"/>
  <c r="B34" i="57"/>
  <c r="B88" i="57"/>
  <c r="O84" i="57"/>
  <c r="N84" i="57"/>
  <c r="M84" i="57"/>
  <c r="L84" i="57"/>
  <c r="K84" i="57"/>
  <c r="J84" i="57"/>
  <c r="I53" i="57"/>
  <c r="I63" i="57"/>
  <c r="I84" i="57"/>
  <c r="I36" i="57"/>
  <c r="I85" i="57"/>
  <c r="H53" i="57"/>
  <c r="H63" i="57"/>
  <c r="H84" i="57"/>
  <c r="H36" i="57"/>
  <c r="H85" i="57"/>
  <c r="G53" i="57"/>
  <c r="G63" i="57"/>
  <c r="G84" i="57"/>
  <c r="G36" i="57"/>
  <c r="G85" i="57"/>
  <c r="F53" i="57"/>
  <c r="F63" i="57"/>
  <c r="F84" i="57"/>
  <c r="F36" i="57"/>
  <c r="F85" i="57"/>
  <c r="E53" i="57"/>
  <c r="E63" i="57"/>
  <c r="E84" i="57"/>
  <c r="E36" i="57"/>
  <c r="E85" i="57"/>
  <c r="D53" i="57"/>
  <c r="D63" i="57"/>
  <c r="D84" i="57"/>
  <c r="D36" i="57"/>
  <c r="D85" i="57"/>
  <c r="C53" i="57"/>
  <c r="C63" i="57"/>
  <c r="C84" i="57"/>
  <c r="C36" i="57"/>
  <c r="C85" i="57"/>
  <c r="B53" i="57"/>
  <c r="B63" i="57"/>
  <c r="B84" i="57"/>
  <c r="B36" i="57"/>
  <c r="B85" i="57"/>
  <c r="I72" i="57"/>
  <c r="I73" i="57"/>
  <c r="I74" i="57"/>
  <c r="I75" i="57"/>
  <c r="I76" i="57"/>
  <c r="I77" i="57"/>
  <c r="I78" i="57"/>
  <c r="I79" i="57"/>
  <c r="I64" i="57"/>
  <c r="I65" i="57"/>
  <c r="I66" i="57"/>
  <c r="I67" i="57"/>
  <c r="I68" i="57"/>
  <c r="I54" i="57"/>
  <c r="I55" i="57"/>
  <c r="I56" i="57"/>
  <c r="I57" i="57"/>
  <c r="I58" i="57"/>
  <c r="I59" i="57"/>
  <c r="I60" i="57"/>
  <c r="I61" i="57"/>
  <c r="I43" i="57"/>
  <c r="I44" i="57"/>
  <c r="I45" i="57"/>
  <c r="I46" i="57"/>
  <c r="I47" i="57"/>
  <c r="I48" i="57"/>
  <c r="I49" i="57"/>
  <c r="I37" i="57"/>
  <c r="I38" i="57"/>
  <c r="I39" i="57"/>
  <c r="I40" i="57"/>
  <c r="I41" i="57"/>
  <c r="I50" i="57"/>
  <c r="H72" i="57"/>
  <c r="H73" i="57"/>
  <c r="H74" i="57"/>
  <c r="H75" i="57"/>
  <c r="H76" i="57"/>
  <c r="H77" i="57"/>
  <c r="H78" i="57"/>
  <c r="H79" i="57"/>
  <c r="H64" i="57"/>
  <c r="H65" i="57"/>
  <c r="H66" i="57"/>
  <c r="H67" i="57"/>
  <c r="H68" i="57"/>
  <c r="H54" i="57"/>
  <c r="H55" i="57"/>
  <c r="H56" i="57"/>
  <c r="H57" i="57"/>
  <c r="H58" i="57"/>
  <c r="H59" i="57"/>
  <c r="H60" i="57"/>
  <c r="H61" i="57"/>
  <c r="H70" i="57"/>
  <c r="H80" i="57"/>
  <c r="H43" i="57"/>
  <c r="H44" i="57"/>
  <c r="H45" i="57"/>
  <c r="H46" i="57"/>
  <c r="H47" i="57"/>
  <c r="H48" i="57"/>
  <c r="H49" i="57"/>
  <c r="H37" i="57"/>
  <c r="H38" i="57"/>
  <c r="H39" i="57"/>
  <c r="H40" i="57"/>
  <c r="H41" i="57"/>
  <c r="H50" i="57"/>
  <c r="H82" i="57"/>
  <c r="G72" i="57"/>
  <c r="G73" i="57"/>
  <c r="G74" i="57"/>
  <c r="G75" i="57"/>
  <c r="G76" i="57"/>
  <c r="G77" i="57"/>
  <c r="G78" i="57"/>
  <c r="G79" i="57"/>
  <c r="G64" i="57"/>
  <c r="G65" i="57"/>
  <c r="G66" i="57"/>
  <c r="G67" i="57"/>
  <c r="G68" i="57"/>
  <c r="G54" i="57"/>
  <c r="G55" i="57"/>
  <c r="G56" i="57"/>
  <c r="G57" i="57"/>
  <c r="G58" i="57"/>
  <c r="G59" i="57"/>
  <c r="G60" i="57"/>
  <c r="G61" i="57"/>
  <c r="G70" i="57"/>
  <c r="G80" i="57"/>
  <c r="G43" i="57"/>
  <c r="G44" i="57"/>
  <c r="G45" i="57"/>
  <c r="G46" i="57"/>
  <c r="G47" i="57"/>
  <c r="G48" i="57"/>
  <c r="G49" i="57"/>
  <c r="G37" i="57"/>
  <c r="G38" i="57"/>
  <c r="G39" i="57"/>
  <c r="G40" i="57"/>
  <c r="G41" i="57"/>
  <c r="G50" i="57"/>
  <c r="G82" i="57"/>
  <c r="F72" i="57"/>
  <c r="F73" i="57"/>
  <c r="F74" i="57"/>
  <c r="F75" i="57"/>
  <c r="F76" i="57"/>
  <c r="F77" i="57"/>
  <c r="F78" i="57"/>
  <c r="F79" i="57"/>
  <c r="F64" i="57"/>
  <c r="F65" i="57"/>
  <c r="F66" i="57"/>
  <c r="F67" i="57"/>
  <c r="F68" i="57"/>
  <c r="F54" i="57"/>
  <c r="F55" i="57"/>
  <c r="F56" i="57"/>
  <c r="F57" i="57"/>
  <c r="F58" i="57"/>
  <c r="F59" i="57"/>
  <c r="F60" i="57"/>
  <c r="F61" i="57"/>
  <c r="F70" i="57"/>
  <c r="F80" i="57"/>
  <c r="F43" i="57"/>
  <c r="F44" i="57"/>
  <c r="F45" i="57"/>
  <c r="F46" i="57"/>
  <c r="F47" i="57"/>
  <c r="F48" i="57"/>
  <c r="F49" i="57"/>
  <c r="F37" i="57"/>
  <c r="F38" i="57"/>
  <c r="F39" i="57"/>
  <c r="F40" i="57"/>
  <c r="F41" i="57"/>
  <c r="F50" i="57"/>
  <c r="F82" i="57"/>
  <c r="E72" i="57"/>
  <c r="E73" i="57"/>
  <c r="E74" i="57"/>
  <c r="E75" i="57"/>
  <c r="E76" i="57"/>
  <c r="E77" i="57"/>
  <c r="E78" i="57"/>
  <c r="E79" i="57"/>
  <c r="E64" i="57"/>
  <c r="E65" i="57"/>
  <c r="E66" i="57"/>
  <c r="E67" i="57"/>
  <c r="E68" i="57"/>
  <c r="E54" i="57"/>
  <c r="E55" i="57"/>
  <c r="E56" i="57"/>
  <c r="E57" i="57"/>
  <c r="E58" i="57"/>
  <c r="E59" i="57"/>
  <c r="E60" i="57"/>
  <c r="E61" i="57"/>
  <c r="E70" i="57"/>
  <c r="E80" i="57"/>
  <c r="E43" i="57"/>
  <c r="E44" i="57"/>
  <c r="E45" i="57"/>
  <c r="E46" i="57"/>
  <c r="E47" i="57"/>
  <c r="E48" i="57"/>
  <c r="E49" i="57"/>
  <c r="E37" i="57"/>
  <c r="E38" i="57"/>
  <c r="E39" i="57"/>
  <c r="E40" i="57"/>
  <c r="E41" i="57"/>
  <c r="E50" i="57"/>
  <c r="E82" i="57"/>
  <c r="D72" i="57"/>
  <c r="D73" i="57"/>
  <c r="D74" i="57"/>
  <c r="D75" i="57"/>
  <c r="D76" i="57"/>
  <c r="D77" i="57"/>
  <c r="D78" i="57"/>
  <c r="D79" i="57"/>
  <c r="D64" i="57"/>
  <c r="D65" i="57"/>
  <c r="D66" i="57"/>
  <c r="D67" i="57"/>
  <c r="D68" i="57"/>
  <c r="D54" i="57"/>
  <c r="D55" i="57"/>
  <c r="D56" i="57"/>
  <c r="D57" i="57"/>
  <c r="D58" i="57"/>
  <c r="D59" i="57"/>
  <c r="D60" i="57"/>
  <c r="D61" i="57"/>
  <c r="D70" i="57"/>
  <c r="D80" i="57"/>
  <c r="D43" i="57"/>
  <c r="D44" i="57"/>
  <c r="D45" i="57"/>
  <c r="D46" i="57"/>
  <c r="D47" i="57"/>
  <c r="D48" i="57"/>
  <c r="D49" i="57"/>
  <c r="D37" i="57"/>
  <c r="D38" i="57"/>
  <c r="D39" i="57"/>
  <c r="D40" i="57"/>
  <c r="D41" i="57"/>
  <c r="D50" i="57"/>
  <c r="D82" i="57"/>
  <c r="C72" i="57"/>
  <c r="C73" i="57"/>
  <c r="C74" i="57"/>
  <c r="C75" i="57"/>
  <c r="C76" i="57"/>
  <c r="C77" i="57"/>
  <c r="C78" i="57"/>
  <c r="C79" i="57"/>
  <c r="C64" i="57"/>
  <c r="C65" i="57"/>
  <c r="C66" i="57"/>
  <c r="C67" i="57"/>
  <c r="C68" i="57"/>
  <c r="C54" i="57"/>
  <c r="C55" i="57"/>
  <c r="C56" i="57"/>
  <c r="C57" i="57"/>
  <c r="C58" i="57"/>
  <c r="C59" i="57"/>
  <c r="C60" i="57"/>
  <c r="C61" i="57"/>
  <c r="C70" i="57"/>
  <c r="C80" i="57"/>
  <c r="C43" i="57"/>
  <c r="C44" i="57"/>
  <c r="C45" i="57"/>
  <c r="C46" i="57"/>
  <c r="C47" i="57"/>
  <c r="C48" i="57"/>
  <c r="C49" i="57"/>
  <c r="C37" i="57"/>
  <c r="C38" i="57"/>
  <c r="C39" i="57"/>
  <c r="C40" i="57"/>
  <c r="C41" i="57"/>
  <c r="C50" i="57"/>
  <c r="C82" i="57"/>
  <c r="B72" i="57"/>
  <c r="B73" i="57"/>
  <c r="B74" i="57"/>
  <c r="B75" i="57"/>
  <c r="B76" i="57"/>
  <c r="B77" i="57"/>
  <c r="B78" i="57"/>
  <c r="B79" i="57"/>
  <c r="B64" i="57"/>
  <c r="B65" i="57"/>
  <c r="B66" i="57"/>
  <c r="B67" i="57"/>
  <c r="B68" i="57"/>
  <c r="B54" i="57"/>
  <c r="B55" i="57"/>
  <c r="B56" i="57"/>
  <c r="B57" i="57"/>
  <c r="B58" i="57"/>
  <c r="B59" i="57"/>
  <c r="B60" i="57"/>
  <c r="B61" i="57"/>
  <c r="B70" i="57"/>
  <c r="B80" i="57"/>
  <c r="B43" i="57"/>
  <c r="B44" i="57"/>
  <c r="B45" i="57"/>
  <c r="B46" i="57"/>
  <c r="B47" i="57"/>
  <c r="B48" i="57"/>
  <c r="B49" i="57"/>
  <c r="B37" i="57"/>
  <c r="B38" i="57"/>
  <c r="B39" i="57"/>
  <c r="B40" i="57"/>
  <c r="B41" i="57"/>
  <c r="B50" i="57"/>
  <c r="B82" i="57"/>
  <c r="I21" i="57"/>
  <c r="H21" i="57"/>
  <c r="G21" i="57"/>
  <c r="F21" i="57"/>
  <c r="E21" i="57"/>
  <c r="D21" i="57"/>
  <c r="C21" i="57"/>
  <c r="B21" i="57"/>
  <c r="H17" i="57"/>
  <c r="G17" i="57"/>
  <c r="F17" i="57"/>
  <c r="E17" i="57"/>
  <c r="D17" i="57"/>
  <c r="C17" i="57"/>
  <c r="B17" i="57"/>
  <c r="H15" i="57"/>
  <c r="G15" i="57"/>
  <c r="F15" i="57"/>
  <c r="E15" i="57"/>
  <c r="D15" i="57"/>
  <c r="C15" i="57"/>
  <c r="B15" i="57"/>
  <c r="O12" i="57"/>
  <c r="N12" i="57"/>
  <c r="M12" i="57"/>
  <c r="L12" i="57"/>
  <c r="K12" i="57"/>
  <c r="J12" i="57"/>
  <c r="I12" i="57"/>
  <c r="H9" i="54"/>
  <c r="H10" i="54"/>
  <c r="H12" i="57"/>
  <c r="G9" i="54"/>
  <c r="G10" i="54"/>
  <c r="G12" i="57"/>
  <c r="F9" i="54"/>
  <c r="F10" i="54"/>
  <c r="F12" i="57"/>
  <c r="E9" i="54"/>
  <c r="E10" i="54"/>
  <c r="E12" i="57"/>
  <c r="D9" i="54"/>
  <c r="D10" i="54"/>
  <c r="D12" i="57"/>
  <c r="C9" i="54"/>
  <c r="C10" i="54"/>
  <c r="C12" i="57"/>
  <c r="B9" i="54"/>
  <c r="B10" i="54"/>
  <c r="B12" i="57"/>
  <c r="O8" i="54"/>
  <c r="O10" i="57"/>
  <c r="N8" i="54"/>
  <c r="N10" i="57"/>
  <c r="M8" i="54"/>
  <c r="M10" i="57"/>
  <c r="L8" i="54"/>
  <c r="L10" i="57"/>
  <c r="K8" i="54"/>
  <c r="K10" i="57"/>
  <c r="J8" i="54"/>
  <c r="J10" i="57"/>
  <c r="I8" i="54"/>
  <c r="I10" i="57"/>
  <c r="H8" i="54"/>
  <c r="H10" i="57"/>
  <c r="G8" i="54"/>
  <c r="G10" i="57"/>
  <c r="F8" i="54"/>
  <c r="F10" i="57"/>
  <c r="E8" i="54"/>
  <c r="E10" i="57"/>
  <c r="D8" i="54"/>
  <c r="D10" i="57"/>
  <c r="C8" i="54"/>
  <c r="C10" i="57"/>
  <c r="B8" i="54"/>
  <c r="B10" i="57"/>
  <c r="O8" i="57"/>
  <c r="N8" i="57"/>
  <c r="M8" i="57"/>
  <c r="L8" i="57"/>
  <c r="K8" i="57"/>
  <c r="J8" i="57"/>
  <c r="I6" i="54"/>
  <c r="I8" i="57"/>
  <c r="H6" i="54"/>
  <c r="H8" i="57"/>
  <c r="G6" i="54"/>
  <c r="G8" i="57"/>
  <c r="F6" i="54"/>
  <c r="F8" i="57"/>
  <c r="E6" i="54"/>
  <c r="E8" i="57"/>
  <c r="D6" i="54"/>
  <c r="D8" i="57"/>
  <c r="C6" i="54"/>
  <c r="C8" i="57"/>
  <c r="B9" i="39"/>
  <c r="B6" i="54"/>
  <c r="B8" i="57"/>
  <c r="L4" i="54"/>
  <c r="M4" i="54"/>
  <c r="N4" i="54"/>
  <c r="O4" i="54"/>
  <c r="O14" i="54"/>
  <c r="N14" i="54"/>
  <c r="M14" i="54"/>
  <c r="L14" i="54"/>
  <c r="K14" i="54"/>
  <c r="J14" i="54"/>
  <c r="O9" i="54"/>
  <c r="N9" i="54"/>
  <c r="M9" i="54"/>
  <c r="L9" i="54"/>
  <c r="K9" i="54"/>
  <c r="J9" i="54"/>
  <c r="O6" i="54"/>
  <c r="N6" i="54"/>
  <c r="M6" i="54"/>
  <c r="L6" i="54"/>
  <c r="K6" i="54"/>
  <c r="J6" i="54"/>
  <c r="H15" i="54"/>
  <c r="G15" i="54"/>
  <c r="F15" i="54"/>
  <c r="E15" i="54"/>
  <c r="D15" i="54"/>
  <c r="C15" i="54"/>
  <c r="I14" i="54"/>
  <c r="H14" i="54"/>
  <c r="G14" i="54"/>
  <c r="F14" i="54"/>
  <c r="E14" i="54"/>
  <c r="D14" i="54"/>
  <c r="C14" i="54"/>
  <c r="B14" i="54"/>
  <c r="J4" i="54"/>
  <c r="K4" i="54"/>
  <c r="D4" i="54"/>
  <c r="E4" i="54"/>
  <c r="F4" i="54"/>
  <c r="G4" i="54"/>
  <c r="H4" i="54"/>
  <c r="I4" i="54"/>
  <c r="C4" i="54"/>
  <c r="B33" i="52"/>
  <c r="B32" i="52"/>
  <c r="B31" i="52"/>
  <c r="B30" i="52"/>
  <c r="B29" i="52"/>
  <c r="B28" i="52"/>
  <c r="B27" i="52"/>
  <c r="B22" i="52"/>
  <c r="B21" i="52"/>
  <c r="B20" i="52"/>
  <c r="B19" i="52"/>
  <c r="B18" i="52"/>
  <c r="B17" i="52"/>
  <c r="C38" i="45"/>
  <c r="C39" i="45"/>
  <c r="R25" i="37"/>
  <c r="P25" i="37"/>
  <c r="N25" i="37"/>
  <c r="R26" i="37"/>
  <c r="P26" i="37"/>
  <c r="N26" i="37"/>
  <c r="L26" i="37"/>
  <c r="J26" i="37"/>
  <c r="H26" i="37"/>
  <c r="F26" i="37"/>
  <c r="D26" i="37"/>
  <c r="B26" i="37"/>
  <c r="J8" i="51"/>
  <c r="I8" i="51"/>
  <c r="H8" i="51"/>
  <c r="H9" i="51"/>
  <c r="G8" i="51"/>
  <c r="F8" i="51"/>
  <c r="E8" i="51"/>
  <c r="D8" i="51"/>
  <c r="C8" i="51"/>
  <c r="B8" i="51"/>
  <c r="J9" i="51"/>
  <c r="I9" i="51"/>
  <c r="J7" i="51"/>
  <c r="I7" i="51"/>
  <c r="H7" i="51"/>
  <c r="G7" i="51"/>
  <c r="F7" i="51"/>
  <c r="E7" i="51"/>
  <c r="D7" i="51"/>
  <c r="C7" i="51"/>
  <c r="B7" i="51"/>
  <c r="F9" i="51"/>
  <c r="B9" i="51"/>
  <c r="G9" i="51"/>
  <c r="E9" i="51"/>
  <c r="D9" i="51"/>
  <c r="C9" i="51"/>
  <c r="I11" i="6"/>
  <c r="B3" i="49"/>
  <c r="B7" i="49"/>
  <c r="B5" i="49"/>
  <c r="B8" i="49"/>
  <c r="B9" i="46"/>
  <c r="B8" i="46"/>
  <c r="B13" i="44"/>
  <c r="B5" i="44"/>
  <c r="B18" i="44"/>
  <c r="B17" i="44"/>
  <c r="F25" i="44"/>
  <c r="B33" i="44"/>
  <c r="E5" i="42"/>
  <c r="C28" i="42"/>
  <c r="D28" i="42"/>
  <c r="E28" i="42"/>
  <c r="F28" i="42"/>
  <c r="G28" i="42"/>
  <c r="H28" i="42"/>
  <c r="I28" i="42"/>
  <c r="J28" i="42"/>
  <c r="K28" i="42"/>
  <c r="L6" i="43"/>
  <c r="I75" i="3"/>
  <c r="L12" i="43"/>
  <c r="K6" i="43"/>
  <c r="K12" i="43"/>
  <c r="J6" i="43"/>
  <c r="J12" i="43"/>
  <c r="I6" i="43"/>
  <c r="I12" i="43"/>
  <c r="H6" i="43"/>
  <c r="H12" i="43"/>
  <c r="G6" i="43"/>
  <c r="G12" i="43"/>
  <c r="F6" i="43"/>
  <c r="F12" i="43"/>
  <c r="E6" i="43"/>
  <c r="E12" i="43"/>
  <c r="D6" i="43"/>
  <c r="D12" i="43"/>
  <c r="I62" i="3"/>
  <c r="I65" i="3"/>
  <c r="C7" i="43"/>
  <c r="C6" i="43"/>
  <c r="L7" i="43"/>
  <c r="L11" i="43"/>
  <c r="K7" i="43"/>
  <c r="K11" i="43"/>
  <c r="J7" i="43"/>
  <c r="J11" i="43"/>
  <c r="I7" i="43"/>
  <c r="I11" i="43"/>
  <c r="H7" i="43"/>
  <c r="H11" i="43"/>
  <c r="G7" i="43"/>
  <c r="G11" i="43"/>
  <c r="F7" i="43"/>
  <c r="F11" i="43"/>
  <c r="E7" i="43"/>
  <c r="E11" i="43"/>
  <c r="D7" i="43"/>
  <c r="D11" i="43"/>
  <c r="L10" i="43"/>
  <c r="J10" i="43"/>
  <c r="I10" i="43"/>
  <c r="H10" i="43"/>
  <c r="G10" i="43"/>
  <c r="F10" i="43"/>
  <c r="E10" i="43"/>
  <c r="D10" i="43"/>
  <c r="C12" i="43"/>
  <c r="C11" i="43"/>
  <c r="C10" i="43"/>
  <c r="J13" i="39"/>
  <c r="C9" i="43"/>
  <c r="J12" i="39"/>
  <c r="C8" i="43"/>
  <c r="J9" i="43"/>
  <c r="I21" i="43"/>
  <c r="F9" i="43"/>
  <c r="E21" i="43"/>
  <c r="C13" i="43"/>
  <c r="H9" i="43"/>
  <c r="G21" i="43"/>
  <c r="D18" i="43"/>
  <c r="X45" i="40"/>
  <c r="V45" i="40"/>
  <c r="T45" i="40"/>
  <c r="R45" i="40"/>
  <c r="P45" i="40"/>
  <c r="N45" i="40"/>
  <c r="L45" i="40"/>
  <c r="K27" i="42"/>
  <c r="J27" i="42"/>
  <c r="I27" i="42"/>
  <c r="H27" i="42"/>
  <c r="G27" i="42"/>
  <c r="F27" i="42"/>
  <c r="E27" i="42"/>
  <c r="D27" i="42"/>
  <c r="C27" i="42"/>
  <c r="D5" i="42"/>
  <c r="C5" i="42"/>
  <c r="B5" i="42"/>
  <c r="C30" i="42"/>
  <c r="D30" i="42"/>
  <c r="E30" i="42"/>
  <c r="F30" i="42"/>
  <c r="G30" i="42"/>
  <c r="H30" i="42"/>
  <c r="I30" i="42"/>
  <c r="J30" i="42"/>
  <c r="K30" i="42"/>
  <c r="J33" i="41"/>
  <c r="J19" i="39"/>
  <c r="I5" i="41"/>
  <c r="I19" i="39"/>
  <c r="H5" i="41"/>
  <c r="H19" i="39"/>
  <c r="G5" i="41"/>
  <c r="G19" i="39"/>
  <c r="F5" i="41"/>
  <c r="F19" i="39"/>
  <c r="E5" i="41"/>
  <c r="E19" i="39"/>
  <c r="D5" i="41"/>
  <c r="D19" i="39"/>
  <c r="C5" i="41"/>
  <c r="C19" i="39"/>
  <c r="B5" i="41"/>
  <c r="J11" i="39"/>
  <c r="J14" i="39"/>
  <c r="I4" i="41"/>
  <c r="I11" i="39"/>
  <c r="I12" i="39"/>
  <c r="I13" i="39"/>
  <c r="I14" i="39"/>
  <c r="H4" i="41"/>
  <c r="H11" i="39"/>
  <c r="H12" i="39"/>
  <c r="H13" i="39"/>
  <c r="H14" i="39"/>
  <c r="G4" i="41"/>
  <c r="G11" i="39"/>
  <c r="G12" i="39"/>
  <c r="G13" i="39"/>
  <c r="G14" i="39"/>
  <c r="F4" i="41"/>
  <c r="F11" i="39"/>
  <c r="F12" i="39"/>
  <c r="F13" i="39"/>
  <c r="F14" i="39"/>
  <c r="E4" i="41"/>
  <c r="E11" i="39"/>
  <c r="E12" i="39"/>
  <c r="E13" i="39"/>
  <c r="E14" i="39"/>
  <c r="D4" i="41"/>
  <c r="D11" i="39"/>
  <c r="D12" i="39"/>
  <c r="D13" i="39"/>
  <c r="D14" i="39"/>
  <c r="C4" i="41"/>
  <c r="C11" i="39"/>
  <c r="C12" i="39"/>
  <c r="C13" i="39"/>
  <c r="C14" i="39"/>
  <c r="B4" i="41"/>
  <c r="B22" i="41"/>
  <c r="B10" i="41"/>
  <c r="I34" i="41"/>
  <c r="H34" i="41"/>
  <c r="G34" i="41"/>
  <c r="F34" i="41"/>
  <c r="E34" i="41"/>
  <c r="D34" i="41"/>
  <c r="C34" i="41"/>
  <c r="B34" i="41"/>
  <c r="I33" i="41"/>
  <c r="H33" i="41"/>
  <c r="G33" i="41"/>
  <c r="G35" i="41"/>
  <c r="F33" i="41"/>
  <c r="F35" i="41"/>
  <c r="G36" i="41"/>
  <c r="F10" i="41"/>
  <c r="F12" i="41"/>
  <c r="E33" i="41"/>
  <c r="D33" i="41"/>
  <c r="C33" i="41"/>
  <c r="B33" i="41"/>
  <c r="B35" i="41"/>
  <c r="C36" i="41"/>
  <c r="B12" i="41"/>
  <c r="I28" i="41"/>
  <c r="H28" i="41"/>
  <c r="G28" i="41"/>
  <c r="F28" i="41"/>
  <c r="E28" i="41"/>
  <c r="D28" i="41"/>
  <c r="C28" i="41"/>
  <c r="B28" i="41"/>
  <c r="B25" i="41"/>
  <c r="J16" i="39"/>
  <c r="I21" i="41"/>
  <c r="I16" i="39"/>
  <c r="H21" i="41"/>
  <c r="H16" i="39"/>
  <c r="G21" i="41"/>
  <c r="G16" i="39"/>
  <c r="F21" i="41"/>
  <c r="F16" i="39"/>
  <c r="E21" i="41"/>
  <c r="E16" i="39"/>
  <c r="D21" i="41"/>
  <c r="D16" i="39"/>
  <c r="C21" i="41"/>
  <c r="C16" i="39"/>
  <c r="B21" i="41"/>
  <c r="J15" i="39"/>
  <c r="I20" i="41"/>
  <c r="I15" i="39"/>
  <c r="H20" i="41"/>
  <c r="H15" i="39"/>
  <c r="G20" i="41"/>
  <c r="G15" i="39"/>
  <c r="F20" i="41"/>
  <c r="F15" i="39"/>
  <c r="E20" i="41"/>
  <c r="E15" i="39"/>
  <c r="D20" i="41"/>
  <c r="D15" i="39"/>
  <c r="C20" i="41"/>
  <c r="C15" i="39"/>
  <c r="B20" i="41"/>
  <c r="I19" i="41"/>
  <c r="H19" i="41"/>
  <c r="G19" i="41"/>
  <c r="F19" i="41"/>
  <c r="E19" i="41"/>
  <c r="D19" i="41"/>
  <c r="C19" i="41"/>
  <c r="B19" i="41"/>
  <c r="I18" i="41"/>
  <c r="H18" i="41"/>
  <c r="G18" i="41"/>
  <c r="F18" i="41"/>
  <c r="E18" i="41"/>
  <c r="D18" i="41"/>
  <c r="C18" i="41"/>
  <c r="B18" i="41"/>
  <c r="I17" i="41"/>
  <c r="H17" i="41"/>
  <c r="G17" i="41"/>
  <c r="F17" i="41"/>
  <c r="E17" i="41"/>
  <c r="D17" i="41"/>
  <c r="C17" i="41"/>
  <c r="B17" i="41"/>
  <c r="I16" i="41"/>
  <c r="H16" i="41"/>
  <c r="G16" i="41"/>
  <c r="F16" i="41"/>
  <c r="E16" i="41"/>
  <c r="D16" i="41"/>
  <c r="C16" i="41"/>
  <c r="B16" i="41"/>
  <c r="I15" i="41"/>
  <c r="H15" i="41"/>
  <c r="G15" i="41"/>
  <c r="F15" i="41"/>
  <c r="E15" i="41"/>
  <c r="D15" i="41"/>
  <c r="C15" i="41"/>
  <c r="B15" i="41"/>
  <c r="I11" i="41"/>
  <c r="H11" i="41"/>
  <c r="G11" i="41"/>
  <c r="F11" i="41"/>
  <c r="E11" i="41"/>
  <c r="D11" i="41"/>
  <c r="C11" i="41"/>
  <c r="B11" i="41"/>
  <c r="I7" i="41"/>
  <c r="H7" i="41"/>
  <c r="G7" i="41"/>
  <c r="F7" i="41"/>
  <c r="E7" i="41"/>
  <c r="D7" i="41"/>
  <c r="C7" i="41"/>
  <c r="I6" i="41"/>
  <c r="I22" i="41"/>
  <c r="H6" i="41"/>
  <c r="G6" i="41"/>
  <c r="F6" i="41"/>
  <c r="F22" i="41"/>
  <c r="E6" i="41"/>
  <c r="E22" i="41"/>
  <c r="D6" i="41"/>
  <c r="C6" i="41"/>
  <c r="I8" i="41"/>
  <c r="H8" i="41"/>
  <c r="E8" i="41"/>
  <c r="D8" i="41"/>
  <c r="B7" i="41"/>
  <c r="B6" i="41"/>
  <c r="C35" i="41"/>
  <c r="D36" i="41"/>
  <c r="C10" i="41"/>
  <c r="C12" i="41"/>
  <c r="H35" i="41"/>
  <c r="D35" i="41"/>
  <c r="I35" i="41"/>
  <c r="E35" i="41"/>
  <c r="H22" i="41"/>
  <c r="G22" i="41"/>
  <c r="D22" i="41"/>
  <c r="C22" i="41"/>
  <c r="G8" i="41"/>
  <c r="C8" i="41"/>
  <c r="J41" i="40"/>
  <c r="I41" i="40"/>
  <c r="H41" i="40"/>
  <c r="W41" i="40"/>
  <c r="G41" i="40"/>
  <c r="S41" i="40"/>
  <c r="F41" i="40"/>
  <c r="E41" i="40"/>
  <c r="D41" i="40"/>
  <c r="C41" i="40"/>
  <c r="J40" i="40"/>
  <c r="I40" i="40"/>
  <c r="H40" i="40"/>
  <c r="X40" i="40"/>
  <c r="G40" i="40"/>
  <c r="S40" i="40"/>
  <c r="F40" i="40"/>
  <c r="E40" i="40"/>
  <c r="D40" i="40"/>
  <c r="C40" i="40"/>
  <c r="L40" i="40"/>
  <c r="J39" i="40"/>
  <c r="I39" i="40"/>
  <c r="H39" i="40"/>
  <c r="G39" i="40"/>
  <c r="T39" i="40"/>
  <c r="F39" i="40"/>
  <c r="E39" i="40"/>
  <c r="D39" i="40"/>
  <c r="M39" i="40"/>
  <c r="C39" i="40"/>
  <c r="L39" i="40"/>
  <c r="J38" i="40"/>
  <c r="I38" i="40"/>
  <c r="H38" i="40"/>
  <c r="V38" i="40"/>
  <c r="G38" i="40"/>
  <c r="F38" i="40"/>
  <c r="E38" i="40"/>
  <c r="D38" i="40"/>
  <c r="C38" i="40"/>
  <c r="N38" i="40"/>
  <c r="J37" i="40"/>
  <c r="I37" i="40"/>
  <c r="H37" i="40"/>
  <c r="W37" i="40"/>
  <c r="G37" i="40"/>
  <c r="S37" i="40"/>
  <c r="F37" i="40"/>
  <c r="E37" i="40"/>
  <c r="D37" i="40"/>
  <c r="C37" i="40"/>
  <c r="J36" i="40"/>
  <c r="I36" i="40"/>
  <c r="H36" i="40"/>
  <c r="G36" i="40"/>
  <c r="T36" i="40"/>
  <c r="F36" i="40"/>
  <c r="E36" i="40"/>
  <c r="D36" i="40"/>
  <c r="C36" i="40"/>
  <c r="L36" i="40"/>
  <c r="J35" i="40"/>
  <c r="I35" i="40"/>
  <c r="H35" i="40"/>
  <c r="G35" i="40"/>
  <c r="U35" i="40"/>
  <c r="F35" i="40"/>
  <c r="E35" i="40"/>
  <c r="D35" i="40"/>
  <c r="M35" i="40"/>
  <c r="C35" i="40"/>
  <c r="L35" i="40"/>
  <c r="B41" i="40"/>
  <c r="B40" i="40"/>
  <c r="B39" i="40"/>
  <c r="B38" i="40"/>
  <c r="L38" i="40"/>
  <c r="B37" i="40"/>
  <c r="B36" i="40"/>
  <c r="B35" i="40"/>
  <c r="J32" i="40"/>
  <c r="I32" i="40"/>
  <c r="H32" i="40"/>
  <c r="G32" i="40"/>
  <c r="T32" i="40"/>
  <c r="F32" i="40"/>
  <c r="E32" i="40"/>
  <c r="D32" i="40"/>
  <c r="C32" i="40"/>
  <c r="L32" i="40"/>
  <c r="J31" i="40"/>
  <c r="I31" i="40"/>
  <c r="H31" i="40"/>
  <c r="V31" i="40"/>
  <c r="G31" i="40"/>
  <c r="U31" i="40"/>
  <c r="F31" i="40"/>
  <c r="E31" i="40"/>
  <c r="D31" i="40"/>
  <c r="M31" i="40"/>
  <c r="C31" i="40"/>
  <c r="K31" i="40"/>
  <c r="J30" i="40"/>
  <c r="I30" i="40"/>
  <c r="H30" i="40"/>
  <c r="W30" i="40"/>
  <c r="G30" i="40"/>
  <c r="V30" i="40"/>
  <c r="F30" i="40"/>
  <c r="E30" i="40"/>
  <c r="D30" i="40"/>
  <c r="N30" i="40"/>
  <c r="C30" i="40"/>
  <c r="M30" i="40"/>
  <c r="J29" i="40"/>
  <c r="I29" i="40"/>
  <c r="H29" i="40"/>
  <c r="W29" i="40"/>
  <c r="G29" i="40"/>
  <c r="S29" i="40"/>
  <c r="F29" i="40"/>
  <c r="E29" i="40"/>
  <c r="D29" i="40"/>
  <c r="C29" i="40"/>
  <c r="J28" i="40"/>
  <c r="I28" i="40"/>
  <c r="H28" i="40"/>
  <c r="G28" i="40"/>
  <c r="T28" i="40"/>
  <c r="F28" i="40"/>
  <c r="E28" i="40"/>
  <c r="D28" i="40"/>
  <c r="C28" i="40"/>
  <c r="L28" i="40"/>
  <c r="J27" i="40"/>
  <c r="I27" i="40"/>
  <c r="H27" i="40"/>
  <c r="H33" i="40"/>
  <c r="G27" i="40"/>
  <c r="U27" i="40"/>
  <c r="F27" i="40"/>
  <c r="E27" i="40"/>
  <c r="D27" i="40"/>
  <c r="M27" i="40"/>
  <c r="C27" i="40"/>
  <c r="K27" i="40"/>
  <c r="B32" i="40"/>
  <c r="B31" i="40"/>
  <c r="B30" i="40"/>
  <c r="B29" i="40"/>
  <c r="B28" i="40"/>
  <c r="B27" i="40"/>
  <c r="J25" i="40"/>
  <c r="I25" i="40"/>
  <c r="H25" i="40"/>
  <c r="G25" i="40"/>
  <c r="F25" i="40"/>
  <c r="E25" i="40"/>
  <c r="D25" i="40"/>
  <c r="C25" i="40"/>
  <c r="M25" i="40"/>
  <c r="J24" i="40"/>
  <c r="I24" i="40"/>
  <c r="H24" i="40"/>
  <c r="G24" i="40"/>
  <c r="S24" i="40"/>
  <c r="F24" i="40"/>
  <c r="E24" i="40"/>
  <c r="D24" i="40"/>
  <c r="C24" i="40"/>
  <c r="I23" i="40"/>
  <c r="H23" i="40"/>
  <c r="G23" i="40"/>
  <c r="T23" i="40"/>
  <c r="F23" i="40"/>
  <c r="E23" i="40"/>
  <c r="D23" i="40"/>
  <c r="C23" i="40"/>
  <c r="N23" i="40"/>
  <c r="J22" i="40"/>
  <c r="I22" i="40"/>
  <c r="H22" i="40"/>
  <c r="G22" i="40"/>
  <c r="V22" i="40"/>
  <c r="F22" i="40"/>
  <c r="E22" i="40"/>
  <c r="D22" i="40"/>
  <c r="C22" i="40"/>
  <c r="N22" i="40"/>
  <c r="J21" i="40"/>
  <c r="I21" i="40"/>
  <c r="H21" i="40"/>
  <c r="G21" i="40"/>
  <c r="V21" i="40"/>
  <c r="F21" i="40"/>
  <c r="E21" i="40"/>
  <c r="D21" i="40"/>
  <c r="C21" i="40"/>
  <c r="N21" i="40"/>
  <c r="J20" i="40"/>
  <c r="I20" i="40"/>
  <c r="H20" i="40"/>
  <c r="G20" i="40"/>
  <c r="F20" i="40"/>
  <c r="E20" i="40"/>
  <c r="D20" i="40"/>
  <c r="C20" i="40"/>
  <c r="J19" i="40"/>
  <c r="I19" i="40"/>
  <c r="H19" i="40"/>
  <c r="G19" i="40"/>
  <c r="T19" i="40"/>
  <c r="F19" i="40"/>
  <c r="E19" i="40"/>
  <c r="D19" i="40"/>
  <c r="C19" i="40"/>
  <c r="L19" i="40"/>
  <c r="J18" i="40"/>
  <c r="I18" i="40"/>
  <c r="H18" i="40"/>
  <c r="G18" i="40"/>
  <c r="V18" i="40"/>
  <c r="F18" i="40"/>
  <c r="E18" i="40"/>
  <c r="D18" i="40"/>
  <c r="C18" i="40"/>
  <c r="M18" i="40"/>
  <c r="B25" i="40"/>
  <c r="B24" i="40"/>
  <c r="B23" i="40"/>
  <c r="B22" i="40"/>
  <c r="B21" i="40"/>
  <c r="B20" i="40"/>
  <c r="B19" i="40"/>
  <c r="B18" i="40"/>
  <c r="J15" i="40"/>
  <c r="I15" i="40"/>
  <c r="H15" i="40"/>
  <c r="G15" i="40"/>
  <c r="S15" i="40"/>
  <c r="F15" i="40"/>
  <c r="E15" i="40"/>
  <c r="D15" i="40"/>
  <c r="C15" i="40"/>
  <c r="L15" i="40"/>
  <c r="J14" i="40"/>
  <c r="I14" i="40"/>
  <c r="H14" i="40"/>
  <c r="G14" i="40"/>
  <c r="S14" i="40"/>
  <c r="F14" i="40"/>
  <c r="E14" i="40"/>
  <c r="D14" i="40"/>
  <c r="C14" i="40"/>
  <c r="M14" i="40"/>
  <c r="J13" i="40"/>
  <c r="I13" i="40"/>
  <c r="H13" i="40"/>
  <c r="G13" i="40"/>
  <c r="V13" i="40"/>
  <c r="F13" i="40"/>
  <c r="E13" i="40"/>
  <c r="D13" i="40"/>
  <c r="C13" i="40"/>
  <c r="N13" i="40"/>
  <c r="J12" i="40"/>
  <c r="I12" i="40"/>
  <c r="H12" i="40"/>
  <c r="G12" i="40"/>
  <c r="F12" i="40"/>
  <c r="E12" i="40"/>
  <c r="D12" i="40"/>
  <c r="C12" i="40"/>
  <c r="J11" i="40"/>
  <c r="I11" i="40"/>
  <c r="H11" i="40"/>
  <c r="G11" i="40"/>
  <c r="T11" i="40"/>
  <c r="F11" i="40"/>
  <c r="E11" i="40"/>
  <c r="D11" i="40"/>
  <c r="C11" i="40"/>
  <c r="K11" i="40"/>
  <c r="J10" i="40"/>
  <c r="I10" i="40"/>
  <c r="H10" i="40"/>
  <c r="G10" i="40"/>
  <c r="T10" i="40"/>
  <c r="F10" i="40"/>
  <c r="E10" i="40"/>
  <c r="D10" i="40"/>
  <c r="C10" i="40"/>
  <c r="L10" i="40"/>
  <c r="B15" i="40"/>
  <c r="B14" i="40"/>
  <c r="B13" i="40"/>
  <c r="B12" i="40"/>
  <c r="B11" i="40"/>
  <c r="B10" i="40"/>
  <c r="J8" i="40"/>
  <c r="I8" i="40"/>
  <c r="H8" i="40"/>
  <c r="G8" i="40"/>
  <c r="V8" i="40"/>
  <c r="F8" i="40"/>
  <c r="E8" i="40"/>
  <c r="D8" i="40"/>
  <c r="C8" i="40"/>
  <c r="M8" i="40"/>
  <c r="J7" i="40"/>
  <c r="I7" i="40"/>
  <c r="H7" i="40"/>
  <c r="G7" i="40"/>
  <c r="T7" i="40"/>
  <c r="F7" i="40"/>
  <c r="E7" i="40"/>
  <c r="D7" i="40"/>
  <c r="C7" i="40"/>
  <c r="L7" i="40"/>
  <c r="J6" i="40"/>
  <c r="I6" i="40"/>
  <c r="H6" i="40"/>
  <c r="G6" i="40"/>
  <c r="T6" i="40"/>
  <c r="F6" i="40"/>
  <c r="E6" i="40"/>
  <c r="D6" i="40"/>
  <c r="C6" i="40"/>
  <c r="L6" i="40"/>
  <c r="J5" i="40"/>
  <c r="I5" i="40"/>
  <c r="H5" i="40"/>
  <c r="G5" i="40"/>
  <c r="U5" i="40"/>
  <c r="F5" i="40"/>
  <c r="E5" i="40"/>
  <c r="D5" i="40"/>
  <c r="C5" i="40"/>
  <c r="M5" i="40"/>
  <c r="J4" i="40"/>
  <c r="I4" i="40"/>
  <c r="H4" i="40"/>
  <c r="G4" i="40"/>
  <c r="U4" i="40"/>
  <c r="F4" i="40"/>
  <c r="E4" i="40"/>
  <c r="D4" i="40"/>
  <c r="C4" i="40"/>
  <c r="N4" i="40"/>
  <c r="B8" i="40"/>
  <c r="B7" i="40"/>
  <c r="B6" i="40"/>
  <c r="B5" i="40"/>
  <c r="B4" i="40"/>
  <c r="J42" i="40"/>
  <c r="O41" i="40"/>
  <c r="Z41" i="40"/>
  <c r="R41" i="40"/>
  <c r="P41" i="40"/>
  <c r="Y40" i="40"/>
  <c r="Q40" i="40"/>
  <c r="U39" i="40"/>
  <c r="V39" i="40"/>
  <c r="Z38" i="40"/>
  <c r="M38" i="40"/>
  <c r="Y38" i="40"/>
  <c r="R38" i="40"/>
  <c r="O38" i="40"/>
  <c r="O37" i="40"/>
  <c r="Z37" i="40"/>
  <c r="R37" i="40"/>
  <c r="P37" i="40"/>
  <c r="X36" i="40"/>
  <c r="Y36" i="40"/>
  <c r="S36" i="40"/>
  <c r="Q36" i="40"/>
  <c r="T35" i="40"/>
  <c r="G42" i="40"/>
  <c r="X32" i="40"/>
  <c r="Y32" i="40"/>
  <c r="S32" i="40"/>
  <c r="Q32" i="40"/>
  <c r="T31" i="40"/>
  <c r="Z31" i="40"/>
  <c r="Y31" i="40"/>
  <c r="R31" i="40"/>
  <c r="N31" i="40"/>
  <c r="Z30" i="40"/>
  <c r="U30" i="40"/>
  <c r="R30" i="40"/>
  <c r="Y30" i="40"/>
  <c r="O30" i="40"/>
  <c r="K30" i="40"/>
  <c r="O29" i="40"/>
  <c r="Z29" i="40"/>
  <c r="R29" i="40"/>
  <c r="P29" i="40"/>
  <c r="X28" i="40"/>
  <c r="Y28" i="40"/>
  <c r="S28" i="40"/>
  <c r="Q28" i="40"/>
  <c r="T27" i="40"/>
  <c r="Z27" i="40"/>
  <c r="Y27" i="40"/>
  <c r="R27" i="40"/>
  <c r="D33" i="40"/>
  <c r="B33" i="40"/>
  <c r="W25" i="40"/>
  <c r="S25" i="40"/>
  <c r="O25" i="40"/>
  <c r="Z25" i="40"/>
  <c r="X25" i="40"/>
  <c r="U25" i="40"/>
  <c r="R25" i="40"/>
  <c r="P25" i="40"/>
  <c r="L24" i="40"/>
  <c r="Y24" i="40"/>
  <c r="Q24" i="40"/>
  <c r="K24" i="40"/>
  <c r="P23" i="40"/>
  <c r="V23" i="40"/>
  <c r="Z22" i="40"/>
  <c r="M22" i="40"/>
  <c r="Y22" i="40"/>
  <c r="Q22" i="40"/>
  <c r="U21" i="40"/>
  <c r="R21" i="40"/>
  <c r="X21" i="40"/>
  <c r="P21" i="40"/>
  <c r="W20" i="40"/>
  <c r="O20" i="40"/>
  <c r="Z20" i="40"/>
  <c r="X20" i="40"/>
  <c r="R20" i="40"/>
  <c r="P20" i="40"/>
  <c r="Z19" i="40"/>
  <c r="S19" i="40"/>
  <c r="R19" i="40"/>
  <c r="T18" i="40"/>
  <c r="Y18" i="40"/>
  <c r="F26" i="40"/>
  <c r="B26" i="40"/>
  <c r="T15" i="40"/>
  <c r="Z15" i="40"/>
  <c r="R15" i="40"/>
  <c r="Y14" i="40"/>
  <c r="T14" i="40"/>
  <c r="Z14" i="40"/>
  <c r="V14" i="40"/>
  <c r="R14" i="40"/>
  <c r="K14" i="40"/>
  <c r="M13" i="40"/>
  <c r="Y13" i="40"/>
  <c r="X13" i="40"/>
  <c r="Q13" i="40"/>
  <c r="P13" i="40"/>
  <c r="W12" i="40"/>
  <c r="O12" i="40"/>
  <c r="Z12" i="40"/>
  <c r="X12" i="40"/>
  <c r="R12" i="40"/>
  <c r="P12" i="40"/>
  <c r="L11" i="40"/>
  <c r="Z11" i="40"/>
  <c r="X11" i="40"/>
  <c r="R11" i="40"/>
  <c r="P11" i="40"/>
  <c r="Y10" i="40"/>
  <c r="U10" i="40"/>
  <c r="K10" i="40"/>
  <c r="F9" i="40"/>
  <c r="W8" i="40"/>
  <c r="O8" i="40"/>
  <c r="Y8" i="40"/>
  <c r="X8" i="40"/>
  <c r="Q8" i="40"/>
  <c r="P8" i="40"/>
  <c r="X7" i="40"/>
  <c r="W7" i="40"/>
  <c r="P7" i="40"/>
  <c r="O7" i="40"/>
  <c r="Z7" i="40"/>
  <c r="R7" i="40"/>
  <c r="Y6" i="40"/>
  <c r="Q6" i="40"/>
  <c r="Z6" i="40"/>
  <c r="S6" i="40"/>
  <c r="R6" i="40"/>
  <c r="Z5" i="40"/>
  <c r="R5" i="40"/>
  <c r="V4" i="40"/>
  <c r="J9" i="40"/>
  <c r="X4" i="40"/>
  <c r="E9" i="40"/>
  <c r="C25" i="44"/>
  <c r="G25" i="44"/>
  <c r="D25" i="44"/>
  <c r="H25" i="44"/>
  <c r="B34" i="44"/>
  <c r="E25" i="44"/>
  <c r="I25" i="44"/>
  <c r="B28" i="44"/>
  <c r="B24" i="44"/>
  <c r="B25" i="44"/>
  <c r="K10" i="43"/>
  <c r="J18" i="43"/>
  <c r="D9" i="43"/>
  <c r="C21" i="43"/>
  <c r="F18" i="43"/>
  <c r="L8" i="43"/>
  <c r="K20" i="43"/>
  <c r="I9" i="43"/>
  <c r="H21" i="43"/>
  <c r="H18" i="43"/>
  <c r="E18" i="43"/>
  <c r="I18" i="43"/>
  <c r="H8" i="43"/>
  <c r="G20" i="43"/>
  <c r="C18" i="43"/>
  <c r="K18" i="43"/>
  <c r="E8" i="43"/>
  <c r="D20" i="43"/>
  <c r="I8" i="43"/>
  <c r="H20" i="43"/>
  <c r="G9" i="43"/>
  <c r="F21" i="43"/>
  <c r="K9" i="43"/>
  <c r="J21" i="43"/>
  <c r="D8" i="43"/>
  <c r="C20" i="43"/>
  <c r="G18" i="43"/>
  <c r="F8" i="43"/>
  <c r="E20" i="43"/>
  <c r="J8" i="43"/>
  <c r="I20" i="43"/>
  <c r="L9" i="43"/>
  <c r="K21" i="43"/>
  <c r="G8" i="43"/>
  <c r="F20" i="43"/>
  <c r="K8" i="43"/>
  <c r="J20" i="43"/>
  <c r="E9" i="43"/>
  <c r="D21" i="43"/>
  <c r="C29" i="42"/>
  <c r="D29" i="42"/>
  <c r="E29" i="42"/>
  <c r="F29" i="42"/>
  <c r="G29" i="42"/>
  <c r="H29" i="42"/>
  <c r="I29" i="42"/>
  <c r="J29" i="42"/>
  <c r="K29" i="42"/>
  <c r="F8" i="41"/>
  <c r="F14" i="41"/>
  <c r="B8" i="41"/>
  <c r="B14" i="41"/>
  <c r="D23" i="41"/>
  <c r="H23" i="41"/>
  <c r="E23" i="41"/>
  <c r="I23" i="41"/>
  <c r="B23" i="41"/>
  <c r="F23" i="41"/>
  <c r="C14" i="41"/>
  <c r="C23" i="41"/>
  <c r="G23" i="41"/>
  <c r="F36" i="41"/>
  <c r="E10" i="41"/>
  <c r="E12" i="41"/>
  <c r="E14" i="41"/>
  <c r="E24" i="41"/>
  <c r="E36" i="41"/>
  <c r="D10" i="41"/>
  <c r="D12" i="41"/>
  <c r="D14" i="41"/>
  <c r="D24" i="41"/>
  <c r="I36" i="41"/>
  <c r="H10" i="41"/>
  <c r="H12" i="41"/>
  <c r="H14" i="41"/>
  <c r="H24" i="41"/>
  <c r="H36" i="41"/>
  <c r="G10" i="41"/>
  <c r="G12" i="41"/>
  <c r="G14" i="41"/>
  <c r="V35" i="40"/>
  <c r="K39" i="40"/>
  <c r="K40" i="40"/>
  <c r="C42" i="40"/>
  <c r="K36" i="40"/>
  <c r="W38" i="40"/>
  <c r="U38" i="40"/>
  <c r="N39" i="40"/>
  <c r="T40" i="40"/>
  <c r="X41" i="40"/>
  <c r="N35" i="40"/>
  <c r="X37" i="40"/>
  <c r="S39" i="40"/>
  <c r="C33" i="40"/>
  <c r="S27" i="40"/>
  <c r="L27" i="40"/>
  <c r="K28" i="40"/>
  <c r="S30" i="40"/>
  <c r="S31" i="40"/>
  <c r="L31" i="40"/>
  <c r="K32" i="40"/>
  <c r="L30" i="40"/>
  <c r="X29" i="40"/>
  <c r="B34" i="40"/>
  <c r="N18" i="40"/>
  <c r="U18" i="40"/>
  <c r="M21" i="40"/>
  <c r="K23" i="40"/>
  <c r="L23" i="40"/>
  <c r="L18" i="40"/>
  <c r="K19" i="40"/>
  <c r="L21" i="40"/>
  <c r="U22" i="40"/>
  <c r="S23" i="40"/>
  <c r="S10" i="40"/>
  <c r="S11" i="40"/>
  <c r="N14" i="40"/>
  <c r="U14" i="40"/>
  <c r="U13" i="40"/>
  <c r="L14" i="40"/>
  <c r="K15" i="40"/>
  <c r="M4" i="40"/>
  <c r="K6" i="40"/>
  <c r="V6" i="40"/>
  <c r="N8" i="40"/>
  <c r="N6" i="40"/>
  <c r="U8" i="40"/>
  <c r="T4" i="40"/>
  <c r="L4" i="40"/>
  <c r="E17" i="40"/>
  <c r="V5" i="40"/>
  <c r="R4" i="40"/>
  <c r="P5" i="40"/>
  <c r="O5" i="40"/>
  <c r="M6" i="40"/>
  <c r="S7" i="40"/>
  <c r="R8" i="40"/>
  <c r="Z8" i="40"/>
  <c r="I9" i="40"/>
  <c r="D16" i="40"/>
  <c r="N10" i="40"/>
  <c r="H16" i="40"/>
  <c r="M10" i="40"/>
  <c r="M12" i="40"/>
  <c r="U12" i="40"/>
  <c r="L13" i="40"/>
  <c r="T13" i="40"/>
  <c r="O19" i="40"/>
  <c r="N19" i="40"/>
  <c r="M19" i="40"/>
  <c r="W19" i="40"/>
  <c r="V19" i="40"/>
  <c r="U19" i="40"/>
  <c r="P19" i="40"/>
  <c r="N20" i="40"/>
  <c r="M20" i="40"/>
  <c r="L20" i="40"/>
  <c r="V20" i="40"/>
  <c r="U20" i="40"/>
  <c r="T20" i="40"/>
  <c r="K20" i="40"/>
  <c r="Q21" i="40"/>
  <c r="T21" i="40"/>
  <c r="Z21" i="40"/>
  <c r="Y21" i="40"/>
  <c r="O23" i="40"/>
  <c r="Q23" i="40"/>
  <c r="W23" i="40"/>
  <c r="M24" i="40"/>
  <c r="O24" i="40"/>
  <c r="N24" i="40"/>
  <c r="P24" i="40"/>
  <c r="U24" i="40"/>
  <c r="W24" i="40"/>
  <c r="V24" i="40"/>
  <c r="X24" i="40"/>
  <c r="Q4" i="40"/>
  <c r="Y4" i="40"/>
  <c r="N5" i="40"/>
  <c r="O11" i="40"/>
  <c r="N11" i="40"/>
  <c r="M11" i="40"/>
  <c r="V12" i="40"/>
  <c r="T12" i="40"/>
  <c r="W15" i="40"/>
  <c r="V15" i="40"/>
  <c r="U15" i="40"/>
  <c r="Z4" i="40"/>
  <c r="X5" i="40"/>
  <c r="W5" i="40"/>
  <c r="Q5" i="40"/>
  <c r="Y5" i="40"/>
  <c r="U6" i="40"/>
  <c r="K7" i="40"/>
  <c r="C9" i="40"/>
  <c r="G9" i="40"/>
  <c r="K4" i="40"/>
  <c r="O4" i="40"/>
  <c r="S4" i="40"/>
  <c r="W4" i="40"/>
  <c r="O6" i="40"/>
  <c r="W6" i="40"/>
  <c r="P6" i="40"/>
  <c r="X6" i="40"/>
  <c r="N7" i="40"/>
  <c r="M7" i="40"/>
  <c r="V7" i="40"/>
  <c r="U7" i="40"/>
  <c r="L8" i="40"/>
  <c r="T8" i="40"/>
  <c r="K8" i="40"/>
  <c r="S8" i="40"/>
  <c r="B9" i="40"/>
  <c r="P10" i="40"/>
  <c r="E16" i="40"/>
  <c r="O10" i="40"/>
  <c r="X10" i="40"/>
  <c r="I16" i="40"/>
  <c r="W10" i="40"/>
  <c r="Q10" i="40"/>
  <c r="S12" i="40"/>
  <c r="Z13" i="40"/>
  <c r="P14" i="40"/>
  <c r="O14" i="40"/>
  <c r="X14" i="40"/>
  <c r="W14" i="40"/>
  <c r="Q14" i="40"/>
  <c r="X15" i="40"/>
  <c r="K21" i="40"/>
  <c r="S21" i="40"/>
  <c r="R22" i="40"/>
  <c r="X23" i="40"/>
  <c r="W11" i="40"/>
  <c r="V11" i="40"/>
  <c r="U11" i="40"/>
  <c r="N12" i="40"/>
  <c r="L12" i="40"/>
  <c r="K12" i="40"/>
  <c r="O15" i="40"/>
  <c r="N15" i="40"/>
  <c r="M15" i="40"/>
  <c r="P15" i="40"/>
  <c r="G16" i="40"/>
  <c r="D9" i="40"/>
  <c r="D17" i="40"/>
  <c r="H9" i="40"/>
  <c r="H17" i="40"/>
  <c r="P4" i="40"/>
  <c r="L5" i="40"/>
  <c r="K5" i="40"/>
  <c r="T5" i="40"/>
  <c r="S5" i="40"/>
  <c r="B16" i="40"/>
  <c r="F16" i="40"/>
  <c r="F17" i="40"/>
  <c r="J16" i="40"/>
  <c r="J17" i="40"/>
  <c r="R13" i="40"/>
  <c r="C16" i="40"/>
  <c r="E26" i="40"/>
  <c r="E34" i="40"/>
  <c r="P18" i="40"/>
  <c r="O18" i="40"/>
  <c r="I26" i="40"/>
  <c r="X18" i="40"/>
  <c r="W18" i="40"/>
  <c r="Q18" i="40"/>
  <c r="X19" i="40"/>
  <c r="S20" i="40"/>
  <c r="E42" i="40"/>
  <c r="P35" i="40"/>
  <c r="O35" i="40"/>
  <c r="I42" i="40"/>
  <c r="X35" i="40"/>
  <c r="W35" i="40"/>
  <c r="Y35" i="40"/>
  <c r="Q35" i="40"/>
  <c r="P39" i="40"/>
  <c r="O39" i="40"/>
  <c r="X39" i="40"/>
  <c r="W39" i="40"/>
  <c r="Y39" i="40"/>
  <c r="Q39" i="40"/>
  <c r="Q7" i="40"/>
  <c r="Y7" i="40"/>
  <c r="R10" i="40"/>
  <c r="V10" i="40"/>
  <c r="Z10" i="40"/>
  <c r="Q11" i="40"/>
  <c r="Y11" i="40"/>
  <c r="K13" i="40"/>
  <c r="O13" i="40"/>
  <c r="S13" i="40"/>
  <c r="W13" i="40"/>
  <c r="Q15" i="40"/>
  <c r="Y15" i="40"/>
  <c r="R18" i="40"/>
  <c r="Z18" i="40"/>
  <c r="Q19" i="40"/>
  <c r="Y19" i="40"/>
  <c r="O21" i="40"/>
  <c r="W21" i="40"/>
  <c r="K22" i="40"/>
  <c r="S22" i="40"/>
  <c r="R23" i="40"/>
  <c r="L25" i="40"/>
  <c r="N25" i="40"/>
  <c r="T25" i="40"/>
  <c r="V25" i="40"/>
  <c r="K25" i="40"/>
  <c r="M28" i="40"/>
  <c r="O28" i="40"/>
  <c r="N28" i="40"/>
  <c r="U28" i="40"/>
  <c r="W28" i="40"/>
  <c r="V28" i="40"/>
  <c r="P28" i="40"/>
  <c r="L29" i="40"/>
  <c r="N29" i="40"/>
  <c r="M29" i="40"/>
  <c r="T29" i="40"/>
  <c r="V29" i="40"/>
  <c r="U29" i="40"/>
  <c r="K29" i="40"/>
  <c r="Q30" i="40"/>
  <c r="T30" i="40"/>
  <c r="M32" i="40"/>
  <c r="O32" i="40"/>
  <c r="N32" i="40"/>
  <c r="U32" i="40"/>
  <c r="W32" i="40"/>
  <c r="V32" i="40"/>
  <c r="P32" i="40"/>
  <c r="G33" i="40"/>
  <c r="R35" i="40"/>
  <c r="Z35" i="40"/>
  <c r="R39" i="40"/>
  <c r="Z39" i="40"/>
  <c r="Q12" i="40"/>
  <c r="Y12" i="40"/>
  <c r="C26" i="40"/>
  <c r="C34" i="40"/>
  <c r="G26" i="40"/>
  <c r="G34" i="40"/>
  <c r="G43" i="40"/>
  <c r="K18" i="40"/>
  <c r="S18" i="40"/>
  <c r="Q20" i="40"/>
  <c r="Y20" i="40"/>
  <c r="T24" i="40"/>
  <c r="M36" i="40"/>
  <c r="O36" i="40"/>
  <c r="N36" i="40"/>
  <c r="U36" i="40"/>
  <c r="W36" i="40"/>
  <c r="V36" i="40"/>
  <c r="P36" i="40"/>
  <c r="L37" i="40"/>
  <c r="N37" i="40"/>
  <c r="M37" i="40"/>
  <c r="T37" i="40"/>
  <c r="V37" i="40"/>
  <c r="U37" i="40"/>
  <c r="K37" i="40"/>
  <c r="Q38" i="40"/>
  <c r="T38" i="40"/>
  <c r="M40" i="40"/>
  <c r="O40" i="40"/>
  <c r="N40" i="40"/>
  <c r="U40" i="40"/>
  <c r="W40" i="40"/>
  <c r="V40" i="40"/>
  <c r="P40" i="40"/>
  <c r="L41" i="40"/>
  <c r="N41" i="40"/>
  <c r="T41" i="40"/>
  <c r="V41" i="40"/>
  <c r="K41" i="40"/>
  <c r="B42" i="40"/>
  <c r="B43" i="40"/>
  <c r="D26" i="40"/>
  <c r="D34" i="40"/>
  <c r="H26" i="40"/>
  <c r="H34" i="40"/>
  <c r="O22" i="40"/>
  <c r="P22" i="40"/>
  <c r="W22" i="40"/>
  <c r="X22" i="40"/>
  <c r="M23" i="40"/>
  <c r="U23" i="40"/>
  <c r="P27" i="40"/>
  <c r="E33" i="40"/>
  <c r="O27" i="40"/>
  <c r="X27" i="40"/>
  <c r="I33" i="40"/>
  <c r="W27" i="40"/>
  <c r="Q27" i="40"/>
  <c r="P31" i="40"/>
  <c r="O31" i="40"/>
  <c r="X31" i="40"/>
  <c r="W31" i="40"/>
  <c r="Q31" i="40"/>
  <c r="K38" i="40"/>
  <c r="S38" i="40"/>
  <c r="M41" i="40"/>
  <c r="U41" i="40"/>
  <c r="F42" i="40"/>
  <c r="L22" i="40"/>
  <c r="T22" i="40"/>
  <c r="R24" i="40"/>
  <c r="Z24" i="40"/>
  <c r="Q25" i="40"/>
  <c r="Y25" i="40"/>
  <c r="R28" i="40"/>
  <c r="Z28" i="40"/>
  <c r="Q29" i="40"/>
  <c r="Y29" i="40"/>
  <c r="P30" i="40"/>
  <c r="X30" i="40"/>
  <c r="R32" i="40"/>
  <c r="Z32" i="40"/>
  <c r="K35" i="40"/>
  <c r="S35" i="40"/>
  <c r="R36" i="40"/>
  <c r="Z36" i="40"/>
  <c r="Q37" i="40"/>
  <c r="Y37" i="40"/>
  <c r="P38" i="40"/>
  <c r="X38" i="40"/>
  <c r="R40" i="40"/>
  <c r="Z40" i="40"/>
  <c r="Q41" i="40"/>
  <c r="Y41" i="40"/>
  <c r="D42" i="40"/>
  <c r="H42" i="40"/>
  <c r="F33" i="40"/>
  <c r="F34" i="40"/>
  <c r="F43" i="40"/>
  <c r="J33" i="40"/>
  <c r="N27" i="40"/>
  <c r="V27" i="40"/>
  <c r="B26" i="44"/>
  <c r="C24" i="44"/>
  <c r="B35" i="44"/>
  <c r="I19" i="43"/>
  <c r="H13" i="43"/>
  <c r="I22" i="43"/>
  <c r="D13" i="43"/>
  <c r="E13" i="43"/>
  <c r="E19" i="43"/>
  <c r="E22" i="43"/>
  <c r="E23" i="43"/>
  <c r="F13" i="43"/>
  <c r="H19" i="43"/>
  <c r="F19" i="43"/>
  <c r="G13" i="43"/>
  <c r="J13" i="43"/>
  <c r="J19" i="43"/>
  <c r="D19" i="43"/>
  <c r="K19" i="43"/>
  <c r="K22" i="43"/>
  <c r="K23" i="43"/>
  <c r="C19" i="43"/>
  <c r="C22" i="43"/>
  <c r="C23" i="43"/>
  <c r="I23" i="43"/>
  <c r="G19" i="43"/>
  <c r="G24" i="41"/>
  <c r="F24" i="41"/>
  <c r="C24" i="41"/>
  <c r="B24" i="41"/>
  <c r="B26" i="41"/>
  <c r="C43" i="40"/>
  <c r="E43" i="40"/>
  <c r="U44" i="40"/>
  <c r="V44" i="40"/>
  <c r="B17" i="40"/>
  <c r="B44" i="40"/>
  <c r="N44" i="40"/>
  <c r="T44" i="40"/>
  <c r="M44" i="40"/>
  <c r="X44" i="40"/>
  <c r="L44" i="40"/>
  <c r="K44" i="40"/>
  <c r="R44" i="40"/>
  <c r="I34" i="40"/>
  <c r="I43" i="40"/>
  <c r="W44" i="40"/>
  <c r="G17" i="40"/>
  <c r="I17" i="40"/>
  <c r="I44" i="40"/>
  <c r="H43" i="40"/>
  <c r="H44" i="40"/>
  <c r="P44" i="40"/>
  <c r="S44" i="40"/>
  <c r="C17" i="40"/>
  <c r="C44" i="40"/>
  <c r="Q44" i="40"/>
  <c r="D43" i="40"/>
  <c r="O44" i="40"/>
  <c r="D24" i="44"/>
  <c r="C26" i="44"/>
  <c r="G14" i="43"/>
  <c r="F24" i="43"/>
  <c r="F14" i="43"/>
  <c r="E24" i="43"/>
  <c r="K25" i="43"/>
  <c r="E25" i="43"/>
  <c r="E26" i="43"/>
  <c r="C25" i="43"/>
  <c r="E14" i="43"/>
  <c r="D24" i="43"/>
  <c r="D14" i="43"/>
  <c r="C24" i="43"/>
  <c r="I25" i="43"/>
  <c r="L13" i="43"/>
  <c r="J22" i="43"/>
  <c r="J23" i="43"/>
  <c r="H22" i="43"/>
  <c r="H23" i="43"/>
  <c r="F22" i="43"/>
  <c r="F23" i="43"/>
  <c r="K13" i="43"/>
  <c r="K14" i="43"/>
  <c r="J24" i="43"/>
  <c r="G22" i="43"/>
  <c r="G23" i="43"/>
  <c r="I13" i="43"/>
  <c r="J14" i="43"/>
  <c r="I24" i="43"/>
  <c r="I26" i="43"/>
  <c r="D22" i="43"/>
  <c r="D23" i="43"/>
  <c r="H14" i="43"/>
  <c r="G24" i="43"/>
  <c r="C25" i="41"/>
  <c r="C26" i="41"/>
  <c r="B29" i="41"/>
  <c r="E24" i="44"/>
  <c r="D26" i="44"/>
  <c r="C26" i="43"/>
  <c r="G25" i="43"/>
  <c r="G26" i="43"/>
  <c r="F25" i="43"/>
  <c r="F26" i="43"/>
  <c r="J25" i="43"/>
  <c r="J26" i="43"/>
  <c r="I14" i="43"/>
  <c r="H24" i="43"/>
  <c r="L14" i="43"/>
  <c r="K24" i="43"/>
  <c r="K26" i="43"/>
  <c r="H25" i="43"/>
  <c r="D25" i="43"/>
  <c r="D26" i="43"/>
  <c r="D25" i="41"/>
  <c r="D26" i="41"/>
  <c r="C29" i="41"/>
  <c r="F24" i="44"/>
  <c r="E26" i="44"/>
  <c r="H26" i="43"/>
  <c r="D29" i="41"/>
  <c r="E25" i="41"/>
  <c r="E26" i="41"/>
  <c r="F26" i="44"/>
  <c r="G24" i="44"/>
  <c r="F25" i="41"/>
  <c r="F26" i="41"/>
  <c r="E29" i="41"/>
  <c r="H24" i="44"/>
  <c r="G26" i="44"/>
  <c r="G25" i="41"/>
  <c r="G26" i="41"/>
  <c r="F29" i="41"/>
  <c r="I24" i="44"/>
  <c r="I26" i="44"/>
  <c r="H26" i="44"/>
  <c r="H25" i="41"/>
  <c r="H26" i="41"/>
  <c r="G29" i="41"/>
  <c r="H29" i="41"/>
  <c r="I25" i="41"/>
  <c r="M90" i="9"/>
  <c r="M89" i="9"/>
  <c r="J36" i="39"/>
  <c r="J34" i="39"/>
  <c r="J106" i="9"/>
  <c r="J65" i="39"/>
  <c r="I65" i="39"/>
  <c r="H65" i="39"/>
  <c r="G65" i="39"/>
  <c r="F65" i="39"/>
  <c r="E65" i="39"/>
  <c r="D65" i="39"/>
  <c r="C65" i="39"/>
  <c r="B65" i="39"/>
  <c r="J64" i="39"/>
  <c r="I64" i="39"/>
  <c r="H64" i="39"/>
  <c r="G64" i="39"/>
  <c r="F64" i="39"/>
  <c r="E64" i="39"/>
  <c r="D64" i="39"/>
  <c r="C64" i="39"/>
  <c r="B64" i="39"/>
  <c r="J63" i="39"/>
  <c r="I63" i="39"/>
  <c r="H63" i="39"/>
  <c r="G63" i="39"/>
  <c r="F63" i="39"/>
  <c r="E63" i="39"/>
  <c r="D63" i="39"/>
  <c r="C63" i="39"/>
  <c r="B63" i="39"/>
  <c r="J62" i="39"/>
  <c r="I62" i="39"/>
  <c r="H62" i="39"/>
  <c r="G62" i="39"/>
  <c r="F62" i="39"/>
  <c r="E62" i="39"/>
  <c r="E66" i="39"/>
  <c r="D62" i="39"/>
  <c r="C62" i="39"/>
  <c r="B62" i="39"/>
  <c r="J61" i="39"/>
  <c r="I61" i="39"/>
  <c r="H61" i="39"/>
  <c r="G61" i="39"/>
  <c r="F61" i="39"/>
  <c r="E61" i="39"/>
  <c r="D61" i="39"/>
  <c r="C61" i="39"/>
  <c r="B61" i="39"/>
  <c r="J60" i="39"/>
  <c r="I60" i="39"/>
  <c r="H60" i="39"/>
  <c r="G60" i="39"/>
  <c r="F60" i="39"/>
  <c r="E60" i="39"/>
  <c r="D60" i="39"/>
  <c r="C60" i="39"/>
  <c r="B60" i="39"/>
  <c r="J59" i="39"/>
  <c r="I59" i="39"/>
  <c r="H59" i="39"/>
  <c r="H66" i="39"/>
  <c r="G59" i="39"/>
  <c r="F59" i="39"/>
  <c r="E59" i="39"/>
  <c r="D59" i="39"/>
  <c r="D66" i="39"/>
  <c r="C59" i="39"/>
  <c r="B59" i="39"/>
  <c r="J56" i="39"/>
  <c r="I56" i="39"/>
  <c r="H56" i="39"/>
  <c r="G56" i="39"/>
  <c r="F56" i="39"/>
  <c r="E56" i="39"/>
  <c r="D56" i="39"/>
  <c r="C56" i="39"/>
  <c r="B56" i="39"/>
  <c r="J55" i="39"/>
  <c r="I55" i="39"/>
  <c r="H55" i="39"/>
  <c r="G55" i="39"/>
  <c r="F55" i="39"/>
  <c r="E55" i="39"/>
  <c r="D55" i="39"/>
  <c r="C55" i="39"/>
  <c r="B55" i="39"/>
  <c r="J54" i="39"/>
  <c r="I54" i="39"/>
  <c r="H54" i="39"/>
  <c r="G54" i="39"/>
  <c r="F54" i="39"/>
  <c r="E54" i="39"/>
  <c r="D54" i="39"/>
  <c r="C54" i="39"/>
  <c r="B54" i="39"/>
  <c r="J53" i="39"/>
  <c r="I53" i="39"/>
  <c r="H53" i="39"/>
  <c r="G53" i="39"/>
  <c r="F53" i="39"/>
  <c r="E53" i="39"/>
  <c r="D53" i="39"/>
  <c r="C53" i="39"/>
  <c r="B53" i="39"/>
  <c r="J52" i="39"/>
  <c r="I52" i="39"/>
  <c r="H52" i="39"/>
  <c r="G52" i="39"/>
  <c r="F52" i="39"/>
  <c r="E52" i="39"/>
  <c r="D52" i="39"/>
  <c r="D57" i="39"/>
  <c r="C52" i="39"/>
  <c r="B52" i="39"/>
  <c r="J51" i="39"/>
  <c r="I51" i="39"/>
  <c r="H51" i="39"/>
  <c r="G51" i="39"/>
  <c r="F51" i="39"/>
  <c r="E51" i="39"/>
  <c r="D51" i="39"/>
  <c r="C51" i="39"/>
  <c r="B51" i="39"/>
  <c r="J49" i="39"/>
  <c r="I49" i="39"/>
  <c r="H49" i="39"/>
  <c r="G49" i="39"/>
  <c r="F49" i="39"/>
  <c r="E49" i="39"/>
  <c r="D49" i="39"/>
  <c r="C49" i="39"/>
  <c r="J48" i="39"/>
  <c r="I48" i="39"/>
  <c r="H48" i="39"/>
  <c r="G48" i="39"/>
  <c r="F48" i="39"/>
  <c r="E48" i="39"/>
  <c r="D48" i="39"/>
  <c r="C48" i="39"/>
  <c r="B49" i="39"/>
  <c r="B48" i="39"/>
  <c r="J47" i="39"/>
  <c r="J23" i="40"/>
  <c r="I47" i="39"/>
  <c r="H47" i="39"/>
  <c r="G47" i="39"/>
  <c r="F47" i="39"/>
  <c r="E47" i="39"/>
  <c r="D47" i="39"/>
  <c r="C47" i="39"/>
  <c r="B47" i="39"/>
  <c r="J46" i="39"/>
  <c r="I46" i="39"/>
  <c r="H46" i="39"/>
  <c r="G46" i="39"/>
  <c r="F46" i="39"/>
  <c r="E46" i="39"/>
  <c r="D46" i="39"/>
  <c r="C46" i="39"/>
  <c r="B46" i="39"/>
  <c r="J45" i="39"/>
  <c r="I45" i="39"/>
  <c r="H45" i="39"/>
  <c r="H50" i="39"/>
  <c r="G45" i="39"/>
  <c r="F45" i="39"/>
  <c r="E45" i="39"/>
  <c r="D45" i="39"/>
  <c r="D50" i="39"/>
  <c r="C45" i="39"/>
  <c r="B45" i="39"/>
  <c r="J44" i="39"/>
  <c r="I44" i="39"/>
  <c r="H44" i="39"/>
  <c r="G44" i="39"/>
  <c r="F44" i="39"/>
  <c r="E44" i="39"/>
  <c r="D44" i="39"/>
  <c r="C44" i="39"/>
  <c r="B44" i="39"/>
  <c r="J43" i="39"/>
  <c r="I43" i="39"/>
  <c r="H43" i="39"/>
  <c r="G43" i="39"/>
  <c r="F43" i="39"/>
  <c r="E43" i="39"/>
  <c r="D43" i="39"/>
  <c r="C43" i="39"/>
  <c r="B43" i="39"/>
  <c r="J42" i="39"/>
  <c r="I42" i="39"/>
  <c r="H42" i="39"/>
  <c r="G42" i="39"/>
  <c r="F42" i="39"/>
  <c r="E42" i="39"/>
  <c r="D42" i="39"/>
  <c r="C42" i="39"/>
  <c r="B42" i="39"/>
  <c r="J39" i="39"/>
  <c r="I39" i="39"/>
  <c r="H39" i="39"/>
  <c r="G39" i="39"/>
  <c r="F39" i="39"/>
  <c r="E39" i="39"/>
  <c r="D39" i="39"/>
  <c r="C39" i="39"/>
  <c r="B39" i="39"/>
  <c r="J38" i="39"/>
  <c r="I38" i="39"/>
  <c r="H38" i="39"/>
  <c r="G38" i="39"/>
  <c r="F38" i="39"/>
  <c r="E38" i="39"/>
  <c r="D38" i="39"/>
  <c r="C38" i="39"/>
  <c r="B38" i="39"/>
  <c r="J37" i="39"/>
  <c r="I37" i="39"/>
  <c r="H37" i="39"/>
  <c r="G37" i="39"/>
  <c r="F37" i="39"/>
  <c r="E37" i="39"/>
  <c r="D37" i="39"/>
  <c r="C37" i="39"/>
  <c r="B37" i="39"/>
  <c r="I36" i="39"/>
  <c r="H36" i="39"/>
  <c r="G36" i="39"/>
  <c r="F36" i="39"/>
  <c r="E36" i="39"/>
  <c r="D36" i="39"/>
  <c r="C36" i="39"/>
  <c r="B36" i="39"/>
  <c r="J35" i="39"/>
  <c r="I35" i="39"/>
  <c r="H35" i="39"/>
  <c r="G35" i="39"/>
  <c r="F35" i="39"/>
  <c r="E35" i="39"/>
  <c r="D35" i="39"/>
  <c r="C35" i="39"/>
  <c r="B35" i="39"/>
  <c r="I34" i="39"/>
  <c r="H34" i="39"/>
  <c r="G34" i="39"/>
  <c r="F34" i="39"/>
  <c r="E34" i="39"/>
  <c r="D34" i="39"/>
  <c r="C34" i="39"/>
  <c r="B34" i="39"/>
  <c r="J32" i="39"/>
  <c r="I32" i="39"/>
  <c r="H32" i="39"/>
  <c r="G32" i="39"/>
  <c r="F32" i="39"/>
  <c r="E32" i="39"/>
  <c r="D32" i="39"/>
  <c r="C32" i="39"/>
  <c r="B32" i="39"/>
  <c r="J31" i="39"/>
  <c r="I31" i="39"/>
  <c r="H31" i="39"/>
  <c r="G31" i="39"/>
  <c r="F31" i="39"/>
  <c r="E31" i="39"/>
  <c r="D31" i="39"/>
  <c r="D33" i="39"/>
  <c r="C31" i="39"/>
  <c r="B31" i="39"/>
  <c r="J30" i="39"/>
  <c r="I30" i="39"/>
  <c r="H30" i="39"/>
  <c r="H33" i="39"/>
  <c r="G30" i="39"/>
  <c r="F30" i="39"/>
  <c r="E30" i="39"/>
  <c r="D30" i="39"/>
  <c r="C30" i="39"/>
  <c r="B30" i="39"/>
  <c r="J29" i="39"/>
  <c r="I29" i="39"/>
  <c r="H29" i="39"/>
  <c r="G29" i="39"/>
  <c r="F29" i="39"/>
  <c r="E29" i="39"/>
  <c r="D29" i="39"/>
  <c r="C29" i="39"/>
  <c r="B29" i="39"/>
  <c r="E33" i="39"/>
  <c r="J33" i="39"/>
  <c r="J28" i="39"/>
  <c r="I28" i="39"/>
  <c r="H28" i="39"/>
  <c r="G28" i="39"/>
  <c r="F28" i="39"/>
  <c r="E28" i="39"/>
  <c r="D28" i="39"/>
  <c r="C28" i="39"/>
  <c r="G230" i="9"/>
  <c r="F230" i="9"/>
  <c r="E230" i="9"/>
  <c r="D230" i="9"/>
  <c r="C230" i="9"/>
  <c r="B230" i="9"/>
  <c r="H230" i="9"/>
  <c r="I230" i="9"/>
  <c r="J230" i="9"/>
  <c r="J240" i="9"/>
  <c r="I240" i="9"/>
  <c r="H240" i="9"/>
  <c r="G240" i="9"/>
  <c r="F240" i="9"/>
  <c r="E240" i="9"/>
  <c r="D240" i="9"/>
  <c r="C240" i="9"/>
  <c r="B240" i="9"/>
  <c r="B28" i="39"/>
  <c r="J17" i="39"/>
  <c r="J18" i="39"/>
  <c r="J20" i="39"/>
  <c r="J23" i="39"/>
  <c r="I17" i="39"/>
  <c r="I18" i="39"/>
  <c r="I20" i="39"/>
  <c r="I23" i="39"/>
  <c r="H17" i="39"/>
  <c r="H18" i="39"/>
  <c r="H20" i="39"/>
  <c r="H23" i="39"/>
  <c r="G17" i="39"/>
  <c r="G18" i="39"/>
  <c r="G20" i="39"/>
  <c r="G23" i="39"/>
  <c r="F17" i="39"/>
  <c r="F18" i="39"/>
  <c r="F20" i="39"/>
  <c r="F23" i="39"/>
  <c r="E17" i="39"/>
  <c r="E18" i="39"/>
  <c r="E20" i="39"/>
  <c r="E23" i="39"/>
  <c r="D17" i="39"/>
  <c r="D18" i="39"/>
  <c r="D20" i="39"/>
  <c r="D23" i="39"/>
  <c r="C17" i="39"/>
  <c r="C18" i="39"/>
  <c r="C20" i="39"/>
  <c r="C23" i="39"/>
  <c r="B10" i="39"/>
  <c r="B11" i="39"/>
  <c r="B12" i="39"/>
  <c r="B13" i="39"/>
  <c r="B14" i="39"/>
  <c r="B15" i="39"/>
  <c r="B16" i="39"/>
  <c r="B17" i="39"/>
  <c r="B18" i="39"/>
  <c r="B19" i="39"/>
  <c r="B20" i="39"/>
  <c r="B23" i="39"/>
  <c r="B22" i="10"/>
  <c r="C22" i="10"/>
  <c r="D22" i="10"/>
  <c r="F22" i="10"/>
  <c r="G22" i="10"/>
  <c r="H22" i="10"/>
  <c r="I66" i="39"/>
  <c r="F66" i="39"/>
  <c r="B66" i="39"/>
  <c r="J57" i="39"/>
  <c r="L57" i="39"/>
  <c r="I57" i="39"/>
  <c r="F57" i="39"/>
  <c r="E57" i="39"/>
  <c r="H57" i="39"/>
  <c r="J50" i="39"/>
  <c r="I50" i="39"/>
  <c r="F50" i="39"/>
  <c r="E50" i="39"/>
  <c r="B50" i="39"/>
  <c r="I40" i="39"/>
  <c r="E40" i="39"/>
  <c r="B40" i="39"/>
  <c r="H40" i="39"/>
  <c r="D40" i="39"/>
  <c r="I33" i="39"/>
  <c r="F33" i="39"/>
  <c r="J27" i="39"/>
  <c r="I27" i="39"/>
  <c r="H27" i="39"/>
  <c r="G27" i="39"/>
  <c r="F27" i="39"/>
  <c r="E27" i="39"/>
  <c r="D27" i="39"/>
  <c r="C27" i="39"/>
  <c r="B27" i="39"/>
  <c r="L16" i="39"/>
  <c r="L15" i="39"/>
  <c r="L9" i="39"/>
  <c r="L13" i="39"/>
  <c r="N14" i="38"/>
  <c r="M14" i="38"/>
  <c r="L14" i="38"/>
  <c r="K14" i="38"/>
  <c r="J14" i="38"/>
  <c r="J10" i="38"/>
  <c r="J11" i="38"/>
  <c r="J12" i="38"/>
  <c r="J13" i="38"/>
  <c r="J15" i="38"/>
  <c r="J16" i="38"/>
  <c r="I14" i="38"/>
  <c r="I10" i="38"/>
  <c r="I11" i="38"/>
  <c r="I12" i="38"/>
  <c r="I13" i="38"/>
  <c r="I15" i="38"/>
  <c r="I16" i="38"/>
  <c r="H14" i="38"/>
  <c r="G14" i="38"/>
  <c r="F14" i="38"/>
  <c r="N13" i="38"/>
  <c r="M13" i="38"/>
  <c r="L13" i="38"/>
  <c r="K13" i="38"/>
  <c r="H13" i="38"/>
  <c r="G13" i="38"/>
  <c r="F13" i="38"/>
  <c r="N12" i="38"/>
  <c r="M12" i="38"/>
  <c r="L12" i="38"/>
  <c r="K12" i="38"/>
  <c r="H12" i="38"/>
  <c r="G12" i="38"/>
  <c r="F12" i="38"/>
  <c r="N11" i="38"/>
  <c r="M11" i="38"/>
  <c r="L11" i="38"/>
  <c r="K11" i="38"/>
  <c r="H11" i="38"/>
  <c r="G11" i="38"/>
  <c r="F11" i="38"/>
  <c r="N10" i="38"/>
  <c r="M10" i="38"/>
  <c r="L10" i="38"/>
  <c r="K10" i="38"/>
  <c r="H10" i="38"/>
  <c r="G10" i="38"/>
  <c r="F10" i="38"/>
  <c r="N15" i="38"/>
  <c r="N16" i="38"/>
  <c r="F15" i="38"/>
  <c r="F16" i="38"/>
  <c r="M15" i="38"/>
  <c r="M16" i="38"/>
  <c r="L15" i="38"/>
  <c r="L16" i="38"/>
  <c r="H15" i="38"/>
  <c r="H16" i="38"/>
  <c r="R27" i="37"/>
  <c r="S27" i="37"/>
  <c r="P27" i="37"/>
  <c r="N27" i="37"/>
  <c r="L27" i="37"/>
  <c r="M27" i="37"/>
  <c r="J27" i="37"/>
  <c r="H27" i="37"/>
  <c r="I27" i="37"/>
  <c r="F27" i="37"/>
  <c r="G27" i="37"/>
  <c r="D27" i="37"/>
  <c r="E27" i="37"/>
  <c r="B27" i="37"/>
  <c r="S26" i="37"/>
  <c r="O26" i="37"/>
  <c r="L25" i="37"/>
  <c r="M25" i="37"/>
  <c r="J25" i="37"/>
  <c r="K25" i="37"/>
  <c r="H25" i="37"/>
  <c r="I25" i="37"/>
  <c r="F25" i="37"/>
  <c r="G25" i="37"/>
  <c r="D25" i="37"/>
  <c r="B25" i="37"/>
  <c r="R24" i="37"/>
  <c r="S24" i="37"/>
  <c r="P24" i="37"/>
  <c r="N24" i="37"/>
  <c r="O24" i="37"/>
  <c r="L24" i="37"/>
  <c r="M24" i="37"/>
  <c r="J24" i="37"/>
  <c r="K24" i="37"/>
  <c r="H24" i="37"/>
  <c r="F24" i="37"/>
  <c r="D24" i="37"/>
  <c r="E24" i="37"/>
  <c r="B24" i="37"/>
  <c r="R23" i="37"/>
  <c r="S23" i="37"/>
  <c r="P23" i="37"/>
  <c r="Q23" i="37"/>
  <c r="N23" i="37"/>
  <c r="O23" i="37"/>
  <c r="L23" i="37"/>
  <c r="M23" i="37"/>
  <c r="J23" i="37"/>
  <c r="K23" i="37"/>
  <c r="H23" i="37"/>
  <c r="F23" i="37"/>
  <c r="D23" i="37"/>
  <c r="B23" i="37"/>
  <c r="R22" i="37"/>
  <c r="S22" i="37"/>
  <c r="P22" i="37"/>
  <c r="Q22" i="37"/>
  <c r="N22" i="37"/>
  <c r="O22" i="37"/>
  <c r="L22" i="37"/>
  <c r="M22" i="37"/>
  <c r="J22" i="37"/>
  <c r="H22" i="37"/>
  <c r="F22" i="37"/>
  <c r="D22" i="37"/>
  <c r="B22" i="37"/>
  <c r="Q27" i="37"/>
  <c r="O27" i="37"/>
  <c r="K27" i="37"/>
  <c r="C27" i="37"/>
  <c r="Q26" i="37"/>
  <c r="M26" i="37"/>
  <c r="K26" i="37"/>
  <c r="I26" i="37"/>
  <c r="G26" i="37"/>
  <c r="E26" i="37"/>
  <c r="C26" i="37"/>
  <c r="S25" i="37"/>
  <c r="Q25" i="37"/>
  <c r="O25" i="37"/>
  <c r="E25" i="37"/>
  <c r="C25" i="37"/>
  <c r="Q24" i="37"/>
  <c r="I24" i="37"/>
  <c r="G24" i="37"/>
  <c r="C24" i="37"/>
  <c r="I23" i="37"/>
  <c r="G23" i="37"/>
  <c r="E23" i="37"/>
  <c r="C23" i="37"/>
  <c r="K22" i="37"/>
  <c r="I22" i="37"/>
  <c r="G22" i="37"/>
  <c r="E22" i="37"/>
  <c r="C22" i="37"/>
  <c r="J13" i="36"/>
  <c r="J17" i="36"/>
  <c r="J3" i="36"/>
  <c r="I13" i="36"/>
  <c r="I17" i="36"/>
  <c r="I3" i="36"/>
  <c r="H13" i="36"/>
  <c r="H17" i="36"/>
  <c r="H3" i="36"/>
  <c r="G13" i="36"/>
  <c r="G17" i="36"/>
  <c r="G3" i="36"/>
  <c r="F13" i="36"/>
  <c r="F17" i="36"/>
  <c r="F3" i="36"/>
  <c r="E13" i="36"/>
  <c r="E17" i="36"/>
  <c r="E3" i="36"/>
  <c r="D13" i="36"/>
  <c r="D17" i="36"/>
  <c r="D3" i="36"/>
  <c r="K2" i="36"/>
  <c r="J2" i="36"/>
  <c r="I2" i="36"/>
  <c r="H2" i="36"/>
  <c r="G2" i="36"/>
  <c r="F2" i="36"/>
  <c r="E2" i="36"/>
  <c r="D2" i="36"/>
  <c r="C2" i="36"/>
  <c r="C13" i="36"/>
  <c r="C17" i="36"/>
  <c r="C3" i="36"/>
  <c r="K14" i="36"/>
  <c r="J14" i="36"/>
  <c r="I14" i="36"/>
  <c r="H14" i="36"/>
  <c r="G14" i="36"/>
  <c r="F14" i="36"/>
  <c r="E14" i="36"/>
  <c r="D14" i="36"/>
  <c r="L14" i="36"/>
  <c r="C14" i="36"/>
  <c r="K13" i="36"/>
  <c r="L13" i="36"/>
  <c r="K12" i="36"/>
  <c r="J12" i="36"/>
  <c r="I12" i="36"/>
  <c r="H12" i="36"/>
  <c r="G12" i="36"/>
  <c r="F12" i="36"/>
  <c r="E12" i="36"/>
  <c r="D12" i="36"/>
  <c r="C12" i="36"/>
  <c r="L11" i="36"/>
  <c r="K11" i="36"/>
  <c r="J11" i="36"/>
  <c r="I11" i="36"/>
  <c r="H11" i="36"/>
  <c r="G11" i="36"/>
  <c r="F11" i="36"/>
  <c r="E11" i="36"/>
  <c r="D11" i="36"/>
  <c r="C11" i="36"/>
  <c r="K23" i="36"/>
  <c r="J23" i="36"/>
  <c r="I23" i="36"/>
  <c r="H23" i="36"/>
  <c r="G23" i="36"/>
  <c r="F23" i="36"/>
  <c r="E23" i="36"/>
  <c r="D23" i="36"/>
  <c r="C23" i="36"/>
  <c r="K17" i="36"/>
  <c r="K18" i="36"/>
  <c r="D10" i="36"/>
  <c r="E10" i="36"/>
  <c r="F10" i="36"/>
  <c r="G10" i="36"/>
  <c r="H10" i="36"/>
  <c r="I10" i="36"/>
  <c r="J10" i="36"/>
  <c r="K10" i="36"/>
  <c r="J7" i="35"/>
  <c r="I7" i="35"/>
  <c r="H7" i="35"/>
  <c r="G7" i="35"/>
  <c r="G9" i="35"/>
  <c r="F7" i="35"/>
  <c r="E7" i="35"/>
  <c r="D7" i="35"/>
  <c r="C7" i="35"/>
  <c r="B7" i="35"/>
  <c r="J6" i="35"/>
  <c r="I6" i="35"/>
  <c r="H6" i="35"/>
  <c r="G6" i="35"/>
  <c r="F6" i="35"/>
  <c r="E6" i="35"/>
  <c r="D6" i="35"/>
  <c r="C6" i="35"/>
  <c r="B6" i="35"/>
  <c r="J5" i="35"/>
  <c r="I5" i="35"/>
  <c r="H5" i="35"/>
  <c r="G5" i="35"/>
  <c r="F5" i="35"/>
  <c r="E5" i="35"/>
  <c r="D5" i="35"/>
  <c r="C5" i="35"/>
  <c r="B5" i="35"/>
  <c r="A7" i="35"/>
  <c r="J9" i="35"/>
  <c r="I9" i="35"/>
  <c r="F9" i="35"/>
  <c r="E9" i="35"/>
  <c r="I11" i="32"/>
  <c r="I12" i="32" s="1"/>
  <c r="H11" i="32"/>
  <c r="H12" i="32" s="1"/>
  <c r="F11" i="32"/>
  <c r="F12" i="32" s="1"/>
  <c r="E11" i="32"/>
  <c r="E12" i="32" s="1"/>
  <c r="D11" i="32"/>
  <c r="D12" i="32" s="1"/>
  <c r="C11" i="32"/>
  <c r="C12" i="32" s="1"/>
  <c r="B11" i="32"/>
  <c r="B12" i="32" s="1"/>
  <c r="I93" i="6"/>
  <c r="I6" i="32"/>
  <c r="H93" i="6"/>
  <c r="H6" i="32"/>
  <c r="G93" i="6"/>
  <c r="G6" i="32"/>
  <c r="F93" i="6"/>
  <c r="F6" i="32"/>
  <c r="E93" i="6"/>
  <c r="E6" i="32"/>
  <c r="D93" i="6"/>
  <c r="D6" i="32"/>
  <c r="C93" i="6"/>
  <c r="C6" i="32"/>
  <c r="B93" i="6"/>
  <c r="B6" i="32"/>
  <c r="I17" i="12"/>
  <c r="I133" i="6"/>
  <c r="H17" i="12"/>
  <c r="I19" i="12"/>
  <c r="I20" i="12"/>
  <c r="H133" i="6"/>
  <c r="G17" i="12"/>
  <c r="H19" i="12"/>
  <c r="H20" i="12"/>
  <c r="G133" i="6"/>
  <c r="F17" i="12"/>
  <c r="G19" i="12"/>
  <c r="G20" i="12"/>
  <c r="F133" i="6"/>
  <c r="E17" i="12"/>
  <c r="F19" i="12"/>
  <c r="F20" i="12"/>
  <c r="E133" i="6"/>
  <c r="D17" i="12"/>
  <c r="E19" i="12"/>
  <c r="E20" i="12"/>
  <c r="D133" i="6"/>
  <c r="C17" i="12"/>
  <c r="D19" i="12"/>
  <c r="D20" i="12"/>
  <c r="C133" i="6"/>
  <c r="B17" i="12"/>
  <c r="C19" i="12"/>
  <c r="C20" i="12"/>
  <c r="B133" i="6"/>
  <c r="B19" i="12"/>
  <c r="B20" i="12"/>
  <c r="I18" i="12"/>
  <c r="H18" i="12"/>
  <c r="G18" i="12"/>
  <c r="F18" i="12"/>
  <c r="E18" i="12"/>
  <c r="D18" i="12"/>
  <c r="C18" i="12"/>
  <c r="B5" i="32"/>
  <c r="I92" i="6"/>
  <c r="I4" i="32"/>
  <c r="H92" i="6"/>
  <c r="H4" i="32"/>
  <c r="G92" i="6"/>
  <c r="G4" i="32"/>
  <c r="F92" i="6"/>
  <c r="F4" i="32"/>
  <c r="E92" i="6"/>
  <c r="E4" i="32"/>
  <c r="D92" i="6"/>
  <c r="D4" i="32"/>
  <c r="C92" i="6"/>
  <c r="C4" i="32"/>
  <c r="B92" i="6"/>
  <c r="B4" i="32"/>
  <c r="H91" i="6"/>
  <c r="H3" i="32"/>
  <c r="G91" i="6"/>
  <c r="G3" i="32"/>
  <c r="F91" i="6"/>
  <c r="F3" i="32"/>
  <c r="E91" i="6"/>
  <c r="E3" i="32"/>
  <c r="D91" i="6"/>
  <c r="D3" i="32"/>
  <c r="C91" i="6"/>
  <c r="C3" i="32"/>
  <c r="B91" i="6"/>
  <c r="B3" i="32"/>
  <c r="I2" i="32"/>
  <c r="H2" i="32"/>
  <c r="G2" i="32"/>
  <c r="F2" i="32"/>
  <c r="F14" i="32"/>
  <c r="E2" i="32"/>
  <c r="D2" i="32"/>
  <c r="C2" i="32"/>
  <c r="B2" i="32"/>
  <c r="E14" i="32"/>
  <c r="I1" i="32"/>
  <c r="H1" i="32"/>
  <c r="G1" i="32"/>
  <c r="F1" i="32"/>
  <c r="E1" i="32"/>
  <c r="D1" i="32"/>
  <c r="C1" i="32"/>
  <c r="B1" i="32"/>
  <c r="I16" i="32"/>
  <c r="G16" i="32"/>
  <c r="E16" i="32"/>
  <c r="D16" i="32"/>
  <c r="C16" i="32"/>
  <c r="H14" i="32"/>
  <c r="G14" i="32"/>
  <c r="D14" i="32"/>
  <c r="C14" i="32"/>
  <c r="J26" i="40"/>
  <c r="J34" i="40"/>
  <c r="J43" i="40"/>
  <c r="J44" i="40"/>
  <c r="Y23" i="40"/>
  <c r="Y44" i="40"/>
  <c r="Z23" i="40"/>
  <c r="Z44" i="40"/>
  <c r="J58" i="39"/>
  <c r="J34" i="41"/>
  <c r="J35" i="41"/>
  <c r="J36" i="41"/>
  <c r="I10" i="41"/>
  <c r="I12" i="41"/>
  <c r="I14" i="41"/>
  <c r="I24" i="41"/>
  <c r="I26" i="41"/>
  <c r="I29" i="41"/>
  <c r="L12" i="36"/>
  <c r="K3" i="36"/>
  <c r="J66" i="39"/>
  <c r="C66" i="39"/>
  <c r="G66" i="39"/>
  <c r="D58" i="39"/>
  <c r="D67" i="39"/>
  <c r="C57" i="39"/>
  <c r="G57" i="39"/>
  <c r="B57" i="39"/>
  <c r="B58" i="39"/>
  <c r="B67" i="39"/>
  <c r="H58" i="39"/>
  <c r="H67" i="39"/>
  <c r="C50" i="39"/>
  <c r="C58" i="39"/>
  <c r="G50" i="39"/>
  <c r="F40" i="39"/>
  <c r="J40" i="39"/>
  <c r="L40" i="39"/>
  <c r="I41" i="39"/>
  <c r="C40" i="39"/>
  <c r="G40" i="39"/>
  <c r="E41" i="39"/>
  <c r="H41" i="39"/>
  <c r="F41" i="39"/>
  <c r="D41" i="39"/>
  <c r="C33" i="39"/>
  <c r="G33" i="39"/>
  <c r="G41" i="39"/>
  <c r="B33" i="39"/>
  <c r="B41" i="39"/>
  <c r="L33" i="39"/>
  <c r="E58" i="39"/>
  <c r="E67" i="39"/>
  <c r="I58" i="39"/>
  <c r="I67" i="39"/>
  <c r="F58" i="39"/>
  <c r="F67" i="39"/>
  <c r="L50" i="39"/>
  <c r="L58" i="39"/>
  <c r="L10" i="39"/>
  <c r="L11" i="39"/>
  <c r="L12" i="39"/>
  <c r="L14" i="39"/>
  <c r="L17" i="39"/>
  <c r="K15" i="38"/>
  <c r="K16" i="38"/>
  <c r="G15" i="38"/>
  <c r="G16" i="38"/>
  <c r="D18" i="36"/>
  <c r="H18" i="36"/>
  <c r="E18" i="36"/>
  <c r="I18" i="36"/>
  <c r="G18" i="36"/>
  <c r="F18" i="36"/>
  <c r="J18" i="36"/>
  <c r="D9" i="35"/>
  <c r="H9" i="35"/>
  <c r="C9" i="35"/>
  <c r="F16" i="32"/>
  <c r="B16" i="32"/>
  <c r="B14" i="32"/>
  <c r="D8" i="32"/>
  <c r="D10" i="32"/>
  <c r="D9" i="32"/>
  <c r="H16" i="32"/>
  <c r="E8" i="32"/>
  <c r="E9" i="32"/>
  <c r="B8" i="32"/>
  <c r="B10" i="32"/>
  <c r="F8" i="32"/>
  <c r="F10" i="32"/>
  <c r="H8" i="32"/>
  <c r="H10" i="32"/>
  <c r="I8" i="32"/>
  <c r="I10" i="32"/>
  <c r="C8" i="32"/>
  <c r="C10" i="32"/>
  <c r="G8" i="32"/>
  <c r="G10" i="32"/>
  <c r="J256" i="9"/>
  <c r="I256" i="9"/>
  <c r="Z45" i="40"/>
  <c r="B10" i="46"/>
  <c r="J67" i="39"/>
  <c r="J41" i="39"/>
  <c r="C67" i="39"/>
  <c r="D68" i="39"/>
  <c r="G58" i="39"/>
  <c r="G67" i="39"/>
  <c r="G68" i="39"/>
  <c r="H68" i="39"/>
  <c r="I68" i="39"/>
  <c r="F68" i="39"/>
  <c r="L41" i="39"/>
  <c r="C41" i="39"/>
  <c r="E68" i="39"/>
  <c r="B68" i="39"/>
  <c r="L19" i="39"/>
  <c r="L20" i="39"/>
  <c r="C18" i="36"/>
  <c r="L17" i="36"/>
  <c r="L18" i="36"/>
  <c r="F9" i="32"/>
  <c r="E10" i="32"/>
  <c r="G9" i="32"/>
  <c r="B9" i="32"/>
  <c r="H9" i="32"/>
  <c r="C9" i="32"/>
  <c r="I9" i="32"/>
  <c r="K7" i="10"/>
  <c r="K9" i="10"/>
  <c r="K11" i="10"/>
  <c r="K13" i="10"/>
  <c r="K15" i="10"/>
  <c r="K18" i="10"/>
  <c r="K21" i="10"/>
  <c r="K26" i="10"/>
  <c r="K28" i="10"/>
  <c r="L206" i="9"/>
  <c r="L205" i="9"/>
  <c r="L204" i="9"/>
  <c r="L203" i="9"/>
  <c r="L202" i="9"/>
  <c r="L201" i="9"/>
  <c r="L200" i="9"/>
  <c r="L199" i="9"/>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1"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L132" i="9"/>
  <c r="L131" i="9"/>
  <c r="L130" i="9"/>
  <c r="L129" i="9"/>
  <c r="L128" i="9"/>
  <c r="L127" i="9"/>
  <c r="L126" i="9"/>
  <c r="L125" i="9"/>
  <c r="L124" i="9"/>
  <c r="L123" i="9"/>
  <c r="L122" i="9"/>
  <c r="L121" i="9"/>
  <c r="L120" i="9"/>
  <c r="L119" i="9"/>
  <c r="L118" i="9"/>
  <c r="L117" i="9"/>
  <c r="L116" i="9"/>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L9" i="9"/>
  <c r="L8" i="9"/>
  <c r="L7" i="9"/>
  <c r="L6" i="9"/>
  <c r="L5" i="9"/>
  <c r="L4" i="9"/>
  <c r="L3" i="9"/>
  <c r="K206" i="9"/>
  <c r="K205" i="9"/>
  <c r="K204" i="9"/>
  <c r="K203" i="9"/>
  <c r="K202" i="9"/>
  <c r="K201" i="9"/>
  <c r="K200" i="9"/>
  <c r="K199" i="9"/>
  <c r="K198" i="9"/>
  <c r="K197" i="9"/>
  <c r="K196" i="9"/>
  <c r="K195" i="9"/>
  <c r="K194" i="9"/>
  <c r="K193" i="9"/>
  <c r="K192" i="9"/>
  <c r="K191" i="9"/>
  <c r="K190" i="9"/>
  <c r="K189" i="9"/>
  <c r="K188" i="9"/>
  <c r="K187" i="9"/>
  <c r="K186" i="9"/>
  <c r="K185" i="9"/>
  <c r="K184" i="9"/>
  <c r="K183" i="9"/>
  <c r="K182" i="9"/>
  <c r="K181" i="9"/>
  <c r="K180" i="9"/>
  <c r="K179" i="9"/>
  <c r="K178" i="9"/>
  <c r="K177" i="9"/>
  <c r="K176" i="9"/>
  <c r="K175" i="9"/>
  <c r="K174" i="9"/>
  <c r="K173" i="9"/>
  <c r="K172" i="9"/>
  <c r="K171" i="9"/>
  <c r="K170" i="9"/>
  <c r="K169" i="9"/>
  <c r="K168" i="9"/>
  <c r="K167" i="9"/>
  <c r="K166" i="9"/>
  <c r="K165" i="9"/>
  <c r="K164" i="9"/>
  <c r="K163" i="9"/>
  <c r="K162" i="9"/>
  <c r="K161" i="9"/>
  <c r="K160" i="9"/>
  <c r="K159" i="9"/>
  <c r="K158" i="9"/>
  <c r="K157" i="9"/>
  <c r="K156" i="9"/>
  <c r="K155" i="9"/>
  <c r="K154" i="9"/>
  <c r="K153" i="9"/>
  <c r="K152" i="9"/>
  <c r="K151" i="9"/>
  <c r="K150" i="9"/>
  <c r="K149" i="9"/>
  <c r="K148" i="9"/>
  <c r="K147" i="9"/>
  <c r="K146" i="9"/>
  <c r="K145" i="9"/>
  <c r="K144" i="9"/>
  <c r="K143" i="9"/>
  <c r="K142" i="9"/>
  <c r="K141" i="9"/>
  <c r="K140" i="9"/>
  <c r="K139" i="9"/>
  <c r="K138" i="9"/>
  <c r="K137" i="9"/>
  <c r="K136" i="9"/>
  <c r="K135" i="9"/>
  <c r="K134" i="9"/>
  <c r="K133" i="9"/>
  <c r="K132" i="9"/>
  <c r="K131" i="9"/>
  <c r="K130" i="9"/>
  <c r="K129" i="9"/>
  <c r="K128" i="9"/>
  <c r="K127" i="9"/>
  <c r="K126" i="9"/>
  <c r="K125" i="9"/>
  <c r="K124" i="9"/>
  <c r="K123" i="9"/>
  <c r="K122" i="9"/>
  <c r="K121" i="9"/>
  <c r="K120" i="9"/>
  <c r="K119" i="9"/>
  <c r="K118" i="9"/>
  <c r="K117" i="9"/>
  <c r="K116" i="9"/>
  <c r="K115" i="9"/>
  <c r="K114" i="9"/>
  <c r="K113" i="9"/>
  <c r="K112" i="9"/>
  <c r="K111" i="9"/>
  <c r="K110" i="9"/>
  <c r="K109" i="9"/>
  <c r="K108" i="9"/>
  <c r="K107" i="9"/>
  <c r="K106" i="9"/>
  <c r="K105" i="9"/>
  <c r="K104" i="9"/>
  <c r="K103" i="9"/>
  <c r="K102" i="9"/>
  <c r="K101" i="9"/>
  <c r="K100" i="9"/>
  <c r="K99" i="9"/>
  <c r="K98" i="9"/>
  <c r="K97" i="9"/>
  <c r="K96" i="9"/>
  <c r="K95" i="9"/>
  <c r="K94" i="9"/>
  <c r="K93" i="9"/>
  <c r="K92" i="9"/>
  <c r="K91" i="9"/>
  <c r="K90" i="9"/>
  <c r="K89" i="9"/>
  <c r="K88" i="9"/>
  <c r="K87" i="9"/>
  <c r="K86" i="9"/>
  <c r="K85" i="9"/>
  <c r="K84" i="9"/>
  <c r="K83" i="9"/>
  <c r="K82" i="9"/>
  <c r="K81" i="9"/>
  <c r="K80" i="9"/>
  <c r="K79" i="9"/>
  <c r="K78" i="9"/>
  <c r="K77" i="9"/>
  <c r="K76" i="9"/>
  <c r="K75" i="9"/>
  <c r="K74" i="9"/>
  <c r="K73" i="9"/>
  <c r="K72" i="9"/>
  <c r="K71" i="9"/>
  <c r="K70" i="9"/>
  <c r="K69" i="9"/>
  <c r="K68" i="9"/>
  <c r="K67" i="9"/>
  <c r="K66" i="9"/>
  <c r="K65" i="9"/>
  <c r="K64" i="9"/>
  <c r="K63" i="9"/>
  <c r="K62" i="9"/>
  <c r="K61" i="9"/>
  <c r="K60" i="9"/>
  <c r="K59" i="9"/>
  <c r="K58" i="9"/>
  <c r="K57" i="9"/>
  <c r="K56" i="9"/>
  <c r="K55" i="9"/>
  <c r="K54" i="9"/>
  <c r="K53" i="9"/>
  <c r="K52" i="9"/>
  <c r="K51" i="9"/>
  <c r="K50" i="9"/>
  <c r="K49" i="9"/>
  <c r="K48" i="9"/>
  <c r="K47" i="9"/>
  <c r="K46" i="9"/>
  <c r="K45" i="9"/>
  <c r="K44" i="9"/>
  <c r="K43" i="9"/>
  <c r="K42" i="9"/>
  <c r="K41" i="9"/>
  <c r="K40" i="9"/>
  <c r="K39" i="9"/>
  <c r="K38" i="9"/>
  <c r="K37" i="9"/>
  <c r="K36" i="9"/>
  <c r="K35" i="9"/>
  <c r="K34" i="9"/>
  <c r="K33" i="9"/>
  <c r="K32" i="9"/>
  <c r="K31" i="9"/>
  <c r="K30" i="9"/>
  <c r="K29" i="9"/>
  <c r="K28" i="9"/>
  <c r="K27" i="9"/>
  <c r="K26" i="9"/>
  <c r="K25" i="9"/>
  <c r="K24" i="9"/>
  <c r="K23" i="9"/>
  <c r="K22" i="9"/>
  <c r="K21" i="9"/>
  <c r="K20" i="9"/>
  <c r="K19" i="9"/>
  <c r="K18" i="9"/>
  <c r="K17" i="9"/>
  <c r="K16" i="9"/>
  <c r="K15" i="9"/>
  <c r="K14" i="9"/>
  <c r="K13" i="9"/>
  <c r="K12" i="9"/>
  <c r="K11" i="9"/>
  <c r="K10" i="9"/>
  <c r="K9" i="9"/>
  <c r="K8" i="9"/>
  <c r="K7" i="9"/>
  <c r="K6" i="9"/>
  <c r="K5" i="9"/>
  <c r="K4" i="9"/>
  <c r="K3" i="9"/>
  <c r="I105" i="3"/>
  <c r="I108" i="3"/>
  <c r="I94" i="3"/>
  <c r="E105" i="3"/>
  <c r="E108" i="3"/>
  <c r="E94" i="3"/>
  <c r="J89" i="3"/>
  <c r="E88" i="3"/>
  <c r="F88" i="3"/>
  <c r="G88" i="3"/>
  <c r="H88" i="3"/>
  <c r="I88" i="3"/>
  <c r="J88" i="3"/>
  <c r="J86" i="3"/>
  <c r="E62" i="3"/>
  <c r="E63" i="3"/>
  <c r="F62" i="3"/>
  <c r="F63" i="3"/>
  <c r="G62" i="3"/>
  <c r="G63" i="3"/>
  <c r="H62" i="3"/>
  <c r="H63" i="3"/>
  <c r="I63" i="3"/>
  <c r="J63" i="3"/>
  <c r="J62" i="3"/>
  <c r="E58" i="3"/>
  <c r="E59" i="3"/>
  <c r="F58" i="3"/>
  <c r="F59" i="3"/>
  <c r="G58" i="3"/>
  <c r="G59" i="3"/>
  <c r="H58" i="3"/>
  <c r="H59" i="3"/>
  <c r="I58" i="3"/>
  <c r="I59" i="3"/>
  <c r="J59" i="3"/>
  <c r="J58" i="3"/>
  <c r="E28" i="3"/>
  <c r="F28" i="3"/>
  <c r="G28" i="3"/>
  <c r="H28" i="3"/>
  <c r="I28" i="3"/>
  <c r="J28" i="3"/>
  <c r="E13" i="3"/>
  <c r="F13" i="3"/>
  <c r="G13" i="3"/>
  <c r="H13" i="3"/>
  <c r="I13" i="3"/>
  <c r="J13" i="3"/>
  <c r="E7" i="3"/>
  <c r="F7" i="3"/>
  <c r="G7" i="3"/>
  <c r="H7" i="3"/>
  <c r="I7" i="3"/>
  <c r="J7" i="3"/>
  <c r="I86" i="3"/>
  <c r="H86" i="3"/>
  <c r="G86" i="3"/>
  <c r="F86" i="3"/>
  <c r="E86" i="3"/>
  <c r="D105" i="31"/>
  <c r="D104" i="31"/>
  <c r="D103" i="31"/>
  <c r="D102" i="31"/>
  <c r="D101" i="31"/>
  <c r="C105" i="31"/>
  <c r="C104" i="31"/>
  <c r="C103" i="31"/>
  <c r="C102" i="31"/>
  <c r="C101" i="31"/>
  <c r="B105" i="31"/>
  <c r="B104" i="31"/>
  <c r="B103" i="31"/>
  <c r="B102" i="31"/>
  <c r="B101" i="31"/>
  <c r="G89" i="31"/>
  <c r="F89" i="31"/>
  <c r="D90" i="31"/>
  <c r="D89" i="31"/>
  <c r="D88" i="31"/>
  <c r="D87" i="31"/>
  <c r="D86" i="31"/>
  <c r="D85" i="31"/>
  <c r="D84" i="31"/>
  <c r="D83" i="31"/>
  <c r="C90" i="31"/>
  <c r="B90" i="31"/>
  <c r="C89" i="31"/>
  <c r="C88" i="31"/>
  <c r="C87" i="31"/>
  <c r="C86" i="31"/>
  <c r="C85" i="31"/>
  <c r="C84" i="31"/>
  <c r="C83" i="31"/>
  <c r="B89" i="31"/>
  <c r="B88" i="31"/>
  <c r="B87" i="31"/>
  <c r="B86" i="31"/>
  <c r="B85" i="31"/>
  <c r="B84" i="31"/>
  <c r="B83" i="31"/>
  <c r="D74" i="31"/>
  <c r="D73" i="31"/>
  <c r="D72" i="31"/>
  <c r="C74" i="31"/>
  <c r="C73" i="31"/>
  <c r="C72" i="31"/>
  <c r="B74" i="31"/>
  <c r="B73" i="31"/>
  <c r="B72" i="31"/>
  <c r="F62" i="31"/>
  <c r="F61" i="31"/>
  <c r="F58" i="31"/>
  <c r="E63" i="31"/>
  <c r="E62" i="31"/>
  <c r="E61" i="31"/>
  <c r="E60" i="31"/>
  <c r="E59" i="31"/>
  <c r="E58" i="31"/>
  <c r="E57" i="31"/>
  <c r="E56" i="31"/>
  <c r="E55" i="31"/>
  <c r="D63" i="31"/>
  <c r="D62" i="31"/>
  <c r="D61" i="31"/>
  <c r="D60" i="31"/>
  <c r="D59" i="31"/>
  <c r="D58" i="31"/>
  <c r="D57" i="31"/>
  <c r="D56" i="31"/>
  <c r="D55" i="31"/>
  <c r="C63" i="31"/>
  <c r="C62" i="31"/>
  <c r="C61" i="31"/>
  <c r="C60" i="31"/>
  <c r="C59" i="31"/>
  <c r="C58" i="31"/>
  <c r="C57" i="31"/>
  <c r="C56" i="31"/>
  <c r="C55" i="31"/>
  <c r="B63" i="31"/>
  <c r="B62" i="31"/>
  <c r="B61" i="31"/>
  <c r="B60" i="31"/>
  <c r="B59" i="31"/>
  <c r="B58" i="31"/>
  <c r="B57" i="31"/>
  <c r="B56" i="31"/>
  <c r="B55" i="31"/>
  <c r="G42" i="31"/>
  <c r="G40" i="31"/>
  <c r="F42" i="31"/>
  <c r="E42" i="31"/>
  <c r="D42" i="31"/>
  <c r="C42" i="31"/>
  <c r="B42" i="31"/>
  <c r="D44" i="31"/>
  <c r="D43" i="31"/>
  <c r="E43" i="31"/>
  <c r="D41" i="31"/>
  <c r="E41" i="31"/>
  <c r="D40" i="31"/>
  <c r="E40" i="31"/>
  <c r="C44" i="31"/>
  <c r="C43" i="31"/>
  <c r="C41" i="31"/>
  <c r="C40" i="31"/>
  <c r="B44" i="31"/>
  <c r="B43" i="31"/>
  <c r="B41" i="31"/>
  <c r="B40" i="31"/>
  <c r="D28" i="31"/>
  <c r="D27" i="31"/>
  <c r="D26" i="31"/>
  <c r="D25" i="31"/>
  <c r="D24" i="31"/>
  <c r="D23" i="31"/>
  <c r="D22" i="31"/>
  <c r="C28" i="31"/>
  <c r="C27" i="31"/>
  <c r="C26" i="31"/>
  <c r="C25" i="31"/>
  <c r="C24" i="31"/>
  <c r="C23" i="31"/>
  <c r="C22" i="31"/>
  <c r="D8" i="31"/>
  <c r="E69" i="31"/>
  <c r="D7" i="31"/>
  <c r="D6" i="31"/>
  <c r="C8" i="31"/>
  <c r="C7" i="31"/>
  <c r="C6" i="31"/>
  <c r="B28" i="31"/>
  <c r="B27" i="31"/>
  <c r="B26" i="31"/>
  <c r="B25" i="31"/>
  <c r="B24" i="31"/>
  <c r="B23" i="31"/>
  <c r="B22" i="31"/>
  <c r="B8" i="31"/>
  <c r="B7" i="31"/>
  <c r="B6" i="31"/>
  <c r="D181" i="19"/>
  <c r="D179" i="19"/>
  <c r="D178" i="19"/>
  <c r="D177" i="19"/>
  <c r="D176" i="19"/>
  <c r="D180" i="19"/>
  <c r="C181" i="19"/>
  <c r="C179" i="19"/>
  <c r="C178" i="19"/>
  <c r="C177" i="19"/>
  <c r="C176" i="19"/>
  <c r="B181" i="19"/>
  <c r="B180" i="19"/>
  <c r="B179" i="19"/>
  <c r="B178" i="19"/>
  <c r="B177" i="19"/>
  <c r="J68" i="39"/>
  <c r="C68" i="39"/>
  <c r="L21" i="39"/>
  <c r="L22" i="39"/>
  <c r="L66" i="39"/>
  <c r="L67" i="39"/>
  <c r="L68" i="39"/>
  <c r="L3" i="36"/>
  <c r="C180" i="19"/>
  <c r="F176" i="19"/>
  <c r="E176" i="19"/>
  <c r="B176" i="19"/>
  <c r="D154" i="19"/>
  <c r="D153" i="19"/>
  <c r="D152" i="19"/>
  <c r="D151" i="19"/>
  <c r="D150" i="19"/>
  <c r="C154" i="19"/>
  <c r="C153" i="19"/>
  <c r="C152" i="19"/>
  <c r="C151" i="19"/>
  <c r="C150" i="19"/>
  <c r="B154" i="19"/>
  <c r="B153" i="19"/>
  <c r="B152" i="19"/>
  <c r="B151" i="19"/>
  <c r="B150" i="19"/>
  <c r="D145" i="19"/>
  <c r="D144" i="19"/>
  <c r="D143" i="19"/>
  <c r="D142" i="19"/>
  <c r="D141" i="19"/>
  <c r="D140" i="19"/>
  <c r="D139" i="19"/>
  <c r="C145" i="19"/>
  <c r="C144" i="19"/>
  <c r="C143" i="19"/>
  <c r="C142" i="19"/>
  <c r="C141" i="19"/>
  <c r="C140" i="19"/>
  <c r="C139" i="19"/>
  <c r="B145" i="19"/>
  <c r="B144" i="19"/>
  <c r="B143" i="19"/>
  <c r="B142" i="19"/>
  <c r="B141" i="19"/>
  <c r="B140" i="19"/>
  <c r="B139" i="19"/>
  <c r="G131" i="19"/>
  <c r="D132" i="19"/>
  <c r="D131" i="19"/>
  <c r="D130" i="19"/>
  <c r="C132" i="19"/>
  <c r="C131" i="19"/>
  <c r="C130" i="19"/>
  <c r="B132" i="19"/>
  <c r="B131" i="19"/>
  <c r="B130" i="19"/>
  <c r="D127" i="19"/>
  <c r="E114" i="19"/>
  <c r="D126" i="19"/>
  <c r="D125" i="19"/>
  <c r="D124" i="19"/>
  <c r="D123" i="19"/>
  <c r="D122" i="19"/>
  <c r="D121" i="19"/>
  <c r="C127" i="19"/>
  <c r="C126" i="19"/>
  <c r="C125" i="19"/>
  <c r="C124" i="19"/>
  <c r="C123" i="19"/>
  <c r="C122" i="19"/>
  <c r="C121" i="19"/>
  <c r="B127" i="19"/>
  <c r="B126" i="19"/>
  <c r="B125" i="19"/>
  <c r="B124" i="19"/>
  <c r="B123" i="19"/>
  <c r="B122" i="19"/>
  <c r="B121" i="19"/>
  <c r="D114" i="19"/>
  <c r="D113" i="19"/>
  <c r="D112" i="19"/>
  <c r="C113" i="19"/>
  <c r="C112" i="19"/>
  <c r="B114" i="19"/>
  <c r="B113" i="19"/>
  <c r="B112" i="19"/>
  <c r="D105" i="19"/>
  <c r="C105" i="19"/>
  <c r="D109" i="19"/>
  <c r="D108" i="19"/>
  <c r="F108" i="19"/>
  <c r="D107" i="19"/>
  <c r="F107" i="19"/>
  <c r="D106" i="19"/>
  <c r="E106" i="19"/>
  <c r="D104" i="19"/>
  <c r="E104" i="19"/>
  <c r="C109" i="19"/>
  <c r="C108" i="19"/>
  <c r="C107" i="19"/>
  <c r="C106" i="19"/>
  <c r="C104" i="19"/>
  <c r="B109" i="19"/>
  <c r="B108" i="19"/>
  <c r="B107" i="19"/>
  <c r="B106" i="19"/>
  <c r="B105" i="19"/>
  <c r="B104" i="19"/>
  <c r="D99" i="19"/>
  <c r="D98" i="19"/>
  <c r="D97" i="19"/>
  <c r="D96" i="19"/>
  <c r="D100" i="19"/>
  <c r="E96" i="19"/>
  <c r="C99" i="19"/>
  <c r="C98" i="19"/>
  <c r="C97" i="19"/>
  <c r="C96" i="19"/>
  <c r="B99" i="19"/>
  <c r="B98" i="19"/>
  <c r="B97" i="19"/>
  <c r="B96" i="19"/>
  <c r="C114" i="19"/>
  <c r="B100" i="19"/>
  <c r="E97" i="19"/>
  <c r="G96" i="19"/>
  <c r="C100" i="19"/>
  <c r="E99" i="19"/>
  <c r="E98" i="19"/>
  <c r="E100" i="19"/>
  <c r="F96" i="19"/>
  <c r="F105" i="19"/>
  <c r="E26" i="15"/>
  <c r="I6" i="3"/>
  <c r="H49" i="17"/>
  <c r="G49" i="17"/>
  <c r="F49" i="17"/>
  <c r="I49" i="17"/>
  <c r="I8" i="17"/>
  <c r="I24" i="17"/>
  <c r="I29" i="17"/>
  <c r="I32" i="17"/>
  <c r="I35" i="17"/>
  <c r="I50" i="17"/>
  <c r="I51" i="17"/>
  <c r="I14" i="17"/>
  <c r="I22" i="17"/>
  <c r="G8" i="17"/>
  <c r="G14" i="17"/>
  <c r="G24" i="17"/>
  <c r="G29" i="17"/>
  <c r="G32" i="17"/>
  <c r="G35" i="17"/>
  <c r="G50" i="17"/>
  <c r="G51" i="17"/>
  <c r="G22" i="17"/>
  <c r="F8" i="17"/>
  <c r="F14" i="17"/>
  <c r="F22" i="17"/>
  <c r="F24" i="17"/>
  <c r="F29" i="17"/>
  <c r="F32" i="17"/>
  <c r="F35" i="17"/>
  <c r="F50" i="17"/>
  <c r="F51" i="17"/>
  <c r="H8" i="17"/>
  <c r="H14" i="17"/>
  <c r="H22" i="17"/>
  <c r="H24" i="17"/>
  <c r="H29" i="17"/>
  <c r="H32" i="17"/>
  <c r="H35" i="17"/>
  <c r="H50" i="17"/>
  <c r="H51" i="17"/>
  <c r="G6" i="16"/>
  <c r="G9" i="16"/>
  <c r="G15" i="16"/>
  <c r="G19" i="16"/>
  <c r="F6" i="16"/>
  <c r="F9" i="16"/>
  <c r="F15" i="16"/>
  <c r="F19" i="16"/>
  <c r="H6" i="16"/>
  <c r="H9" i="16"/>
  <c r="H15" i="16"/>
  <c r="H19" i="16"/>
  <c r="D6" i="16"/>
  <c r="C6" i="16"/>
  <c r="B6" i="16"/>
  <c r="I6" i="16"/>
  <c r="I9" i="16"/>
  <c r="I15" i="16"/>
  <c r="I19" i="16"/>
  <c r="E49" i="15"/>
  <c r="E61" i="15"/>
  <c r="G59" i="15"/>
  <c r="G61" i="15"/>
  <c r="G37" i="15"/>
  <c r="G49" i="15"/>
  <c r="G47" i="15"/>
  <c r="G14" i="15"/>
  <c r="G26" i="15"/>
  <c r="G24" i="15"/>
  <c r="G36" i="3"/>
  <c r="D37" i="15"/>
  <c r="H59" i="15"/>
  <c r="H37" i="15"/>
  <c r="H49" i="15"/>
  <c r="H61" i="15"/>
  <c r="H47" i="15"/>
  <c r="H14" i="15"/>
  <c r="H24" i="15"/>
  <c r="F59" i="15"/>
  <c r="F21" i="3"/>
  <c r="D59" i="15"/>
  <c r="C59" i="15"/>
  <c r="B59" i="15"/>
  <c r="I59" i="15"/>
  <c r="I61" i="15"/>
  <c r="F47" i="15"/>
  <c r="D47" i="15"/>
  <c r="C47" i="15"/>
  <c r="B47" i="15"/>
  <c r="I47" i="15"/>
  <c r="F37" i="15"/>
  <c r="C37" i="15"/>
  <c r="C49" i="15"/>
  <c r="B37" i="15"/>
  <c r="B49" i="15"/>
  <c r="B61" i="15"/>
  <c r="I37" i="15"/>
  <c r="I49" i="15"/>
  <c r="F14" i="15"/>
  <c r="F24" i="15"/>
  <c r="F36" i="3"/>
  <c r="D14" i="15"/>
  <c r="D24" i="15"/>
  <c r="D36" i="3"/>
  <c r="C14" i="15"/>
  <c r="C24" i="15"/>
  <c r="C36" i="3"/>
  <c r="B14" i="15"/>
  <c r="B24" i="15"/>
  <c r="I14" i="15"/>
  <c r="I24" i="15"/>
  <c r="I26" i="15"/>
  <c r="F116" i="3"/>
  <c r="F117" i="3"/>
  <c r="C118" i="3"/>
  <c r="F118" i="3"/>
  <c r="B64" i="15"/>
  <c r="B65" i="15"/>
  <c r="B66" i="15"/>
  <c r="B67" i="15"/>
  <c r="B68" i="15"/>
  <c r="C64" i="15"/>
  <c r="C65" i="15"/>
  <c r="C66" i="15"/>
  <c r="C67" i="15"/>
  <c r="D64" i="15"/>
  <c r="D65" i="15"/>
  <c r="D66" i="15"/>
  <c r="D67" i="15"/>
  <c r="E64" i="15"/>
  <c r="E65" i="15"/>
  <c r="E66" i="15"/>
  <c r="E67" i="15"/>
  <c r="F64" i="15"/>
  <c r="F65" i="15"/>
  <c r="F66" i="15"/>
  <c r="F67" i="15"/>
  <c r="G64" i="15"/>
  <c r="G65" i="15"/>
  <c r="G66" i="15"/>
  <c r="G67" i="15"/>
  <c r="H64" i="15"/>
  <c r="H65" i="15"/>
  <c r="H68" i="15"/>
  <c r="H66" i="15"/>
  <c r="H67" i="15"/>
  <c r="I64" i="15"/>
  <c r="I65" i="15"/>
  <c r="I66" i="15"/>
  <c r="I67" i="15"/>
  <c r="C104" i="3"/>
  <c r="D104" i="3"/>
  <c r="E104" i="3"/>
  <c r="F104" i="3"/>
  <c r="G104" i="3"/>
  <c r="H104" i="3"/>
  <c r="I104" i="3"/>
  <c r="J104" i="3"/>
  <c r="C105" i="3"/>
  <c r="D105" i="3"/>
  <c r="F105" i="3"/>
  <c r="G105" i="3"/>
  <c r="H105" i="3"/>
  <c r="I8" i="10"/>
  <c r="I14" i="10"/>
  <c r="I22" i="10"/>
  <c r="J8" i="10"/>
  <c r="J14" i="10"/>
  <c r="J22" i="10"/>
  <c r="C106" i="3"/>
  <c r="D106" i="3"/>
  <c r="E106" i="3"/>
  <c r="F106" i="3"/>
  <c r="G106" i="3"/>
  <c r="H106" i="3"/>
  <c r="I106" i="3"/>
  <c r="J106" i="3"/>
  <c r="C243" i="9"/>
  <c r="C244" i="9"/>
  <c r="C247" i="9"/>
  <c r="C103" i="3"/>
  <c r="C245" i="9"/>
  <c r="C246" i="9"/>
  <c r="D243" i="9"/>
  <c r="D244" i="9"/>
  <c r="D247" i="9"/>
  <c r="D103" i="3"/>
  <c r="D245" i="9"/>
  <c r="D246" i="9"/>
  <c r="E243" i="9"/>
  <c r="E244" i="9"/>
  <c r="E247" i="9"/>
  <c r="E103" i="3"/>
  <c r="E245" i="9"/>
  <c r="E246" i="9"/>
  <c r="F243" i="9"/>
  <c r="F247" i="9"/>
  <c r="F103" i="3"/>
  <c r="F244" i="9"/>
  <c r="F245" i="9"/>
  <c r="F246" i="9"/>
  <c r="G243" i="9"/>
  <c r="G244" i="9"/>
  <c r="G247" i="9"/>
  <c r="G103" i="3"/>
  <c r="G245" i="9"/>
  <c r="G246" i="9"/>
  <c r="H243" i="9"/>
  <c r="H244" i="9"/>
  <c r="H247" i="9"/>
  <c r="H103" i="3"/>
  <c r="H245" i="9"/>
  <c r="H246" i="9"/>
  <c r="I243" i="9"/>
  <c r="I244" i="9"/>
  <c r="I245" i="9"/>
  <c r="I8" i="9"/>
  <c r="I246" i="9"/>
  <c r="I247" i="9"/>
  <c r="J243" i="9"/>
  <c r="J244" i="9"/>
  <c r="J245" i="9"/>
  <c r="J246" i="9"/>
  <c r="J247" i="9"/>
  <c r="J103" i="3"/>
  <c r="C88" i="3"/>
  <c r="D88" i="3"/>
  <c r="C89" i="3"/>
  <c r="D89" i="3"/>
  <c r="E89" i="3"/>
  <c r="F89" i="3"/>
  <c r="G89" i="3"/>
  <c r="H89" i="3"/>
  <c r="I89" i="3"/>
  <c r="C90" i="3"/>
  <c r="D90" i="3"/>
  <c r="E90" i="3"/>
  <c r="F90" i="3"/>
  <c r="G90" i="3"/>
  <c r="H90" i="3"/>
  <c r="I90" i="3"/>
  <c r="J90" i="3"/>
  <c r="D79" i="3"/>
  <c r="E79" i="3"/>
  <c r="F79" i="3"/>
  <c r="G79" i="3"/>
  <c r="I79" i="3"/>
  <c r="C80" i="3"/>
  <c r="D80" i="3"/>
  <c r="E80" i="3"/>
  <c r="F80" i="3"/>
  <c r="G80" i="3"/>
  <c r="H80" i="3"/>
  <c r="I80" i="3"/>
  <c r="C81" i="3"/>
  <c r="D81" i="3"/>
  <c r="E81" i="3"/>
  <c r="F81" i="3"/>
  <c r="G81" i="3"/>
  <c r="I81" i="3"/>
  <c r="C82" i="3"/>
  <c r="D82" i="3"/>
  <c r="E82" i="3"/>
  <c r="F82" i="3"/>
  <c r="G82" i="3"/>
  <c r="H82" i="3"/>
  <c r="I82" i="3"/>
  <c r="D69" i="15"/>
  <c r="D83" i="3"/>
  <c r="E69" i="15"/>
  <c r="E83" i="3"/>
  <c r="F69" i="15"/>
  <c r="F83" i="3"/>
  <c r="G69" i="15"/>
  <c r="G83" i="3"/>
  <c r="H69" i="15"/>
  <c r="H83" i="3"/>
  <c r="I69" i="15"/>
  <c r="I83" i="3"/>
  <c r="D248" i="9"/>
  <c r="C84" i="3"/>
  <c r="E248" i="9"/>
  <c r="D15" i="3"/>
  <c r="F248" i="9"/>
  <c r="E73" i="3"/>
  <c r="G248" i="9"/>
  <c r="F84" i="3"/>
  <c r="H248" i="9"/>
  <c r="G84" i="3"/>
  <c r="I248" i="9"/>
  <c r="H73" i="3"/>
  <c r="J248" i="9"/>
  <c r="I73" i="3"/>
  <c r="D85" i="3"/>
  <c r="E85" i="3"/>
  <c r="F85" i="3"/>
  <c r="G85" i="3"/>
  <c r="H85" i="3"/>
  <c r="C56" i="3"/>
  <c r="C57" i="3"/>
  <c r="D56" i="3"/>
  <c r="D57" i="3"/>
  <c r="E56" i="3"/>
  <c r="F56" i="3"/>
  <c r="F57" i="3"/>
  <c r="G56" i="3"/>
  <c r="G57" i="3"/>
  <c r="H56" i="3"/>
  <c r="I56" i="3"/>
  <c r="I57" i="3"/>
  <c r="E57" i="3"/>
  <c r="C58" i="3"/>
  <c r="D58" i="3"/>
  <c r="C59" i="3"/>
  <c r="D59" i="3"/>
  <c r="C60" i="3"/>
  <c r="D60" i="3"/>
  <c r="D61" i="3"/>
  <c r="E60" i="3"/>
  <c r="F60" i="3"/>
  <c r="F61" i="3"/>
  <c r="G60" i="3"/>
  <c r="H60" i="3"/>
  <c r="H61" i="3"/>
  <c r="I60" i="3"/>
  <c r="C61" i="3"/>
  <c r="G61" i="3"/>
  <c r="C62" i="3"/>
  <c r="D62" i="3"/>
  <c r="C74" i="3"/>
  <c r="D74" i="3"/>
  <c r="E74" i="3"/>
  <c r="F74" i="3"/>
  <c r="G74" i="3"/>
  <c r="H74" i="3"/>
  <c r="I74" i="3"/>
  <c r="C75" i="3"/>
  <c r="D75" i="3"/>
  <c r="E75" i="3"/>
  <c r="F75" i="3"/>
  <c r="G75" i="3"/>
  <c r="H75" i="3"/>
  <c r="I67" i="3"/>
  <c r="C76" i="3"/>
  <c r="D76" i="3"/>
  <c r="E76" i="3"/>
  <c r="F76" i="3"/>
  <c r="G76" i="3"/>
  <c r="H76" i="3"/>
  <c r="I76" i="3"/>
  <c r="C77" i="3"/>
  <c r="D77" i="3"/>
  <c r="E77" i="3"/>
  <c r="F77" i="3"/>
  <c r="G77" i="3"/>
  <c r="H77" i="3"/>
  <c r="C68" i="3"/>
  <c r="D68" i="3"/>
  <c r="E68" i="3"/>
  <c r="G68" i="3"/>
  <c r="H68" i="3"/>
  <c r="C69" i="3"/>
  <c r="D69" i="3"/>
  <c r="E69" i="3"/>
  <c r="F69" i="3"/>
  <c r="G69" i="3"/>
  <c r="H69" i="3"/>
  <c r="I69" i="3"/>
  <c r="E70" i="3"/>
  <c r="C71" i="3"/>
  <c r="D71" i="3"/>
  <c r="E71" i="3"/>
  <c r="F71" i="3"/>
  <c r="G71" i="3"/>
  <c r="H71" i="3"/>
  <c r="I71" i="3"/>
  <c r="E72" i="3"/>
  <c r="G72" i="3"/>
  <c r="I72" i="3"/>
  <c r="D73" i="3"/>
  <c r="F73" i="3"/>
  <c r="C51" i="3"/>
  <c r="D51" i="3"/>
  <c r="E51" i="3"/>
  <c r="F51" i="3"/>
  <c r="F53" i="3"/>
  <c r="G51" i="3"/>
  <c r="H51" i="3"/>
  <c r="I51" i="3"/>
  <c r="I53" i="3"/>
  <c r="C49" i="3"/>
  <c r="D49" i="3"/>
  <c r="E49" i="3"/>
  <c r="F49" i="3"/>
  <c r="G49" i="3"/>
  <c r="H49" i="3"/>
  <c r="I49" i="3"/>
  <c r="C50" i="3"/>
  <c r="D50" i="3"/>
  <c r="E50" i="3"/>
  <c r="F50" i="3"/>
  <c r="G50" i="3"/>
  <c r="H50" i="3"/>
  <c r="C52" i="3"/>
  <c r="D52" i="3"/>
  <c r="D54" i="3"/>
  <c r="E52" i="3"/>
  <c r="F52" i="3"/>
  <c r="F54" i="3"/>
  <c r="G52" i="3"/>
  <c r="G54" i="3"/>
  <c r="H52" i="3"/>
  <c r="H54" i="3"/>
  <c r="C53" i="3"/>
  <c r="D53" i="3"/>
  <c r="E53" i="3"/>
  <c r="G53" i="3"/>
  <c r="H53" i="3"/>
  <c r="C54" i="3"/>
  <c r="E30" i="3"/>
  <c r="C31" i="3"/>
  <c r="D31" i="3"/>
  <c r="E31" i="3"/>
  <c r="F31" i="3"/>
  <c r="G31" i="3"/>
  <c r="H31" i="3"/>
  <c r="I31" i="3"/>
  <c r="E32" i="3"/>
  <c r="C33" i="3"/>
  <c r="D33" i="3"/>
  <c r="E33" i="3"/>
  <c r="F33" i="3"/>
  <c r="G33" i="3"/>
  <c r="H33" i="3"/>
  <c r="I33" i="3"/>
  <c r="E34" i="3"/>
  <c r="G34" i="3"/>
  <c r="I34" i="3"/>
  <c r="C35" i="3"/>
  <c r="D35" i="3"/>
  <c r="E35" i="3"/>
  <c r="F35" i="3"/>
  <c r="G35" i="3"/>
  <c r="H35" i="3"/>
  <c r="I35" i="3"/>
  <c r="E36" i="3"/>
  <c r="H36" i="3"/>
  <c r="I36" i="3"/>
  <c r="C37" i="3"/>
  <c r="D37" i="3"/>
  <c r="E37" i="3"/>
  <c r="F37" i="3"/>
  <c r="G37" i="3"/>
  <c r="H37" i="3"/>
  <c r="I37" i="3"/>
  <c r="E38" i="3"/>
  <c r="G38" i="3"/>
  <c r="I38" i="3"/>
  <c r="C39" i="3"/>
  <c r="D39" i="3"/>
  <c r="E39" i="3"/>
  <c r="F39" i="3"/>
  <c r="G39" i="3"/>
  <c r="H39" i="3"/>
  <c r="I39" i="3"/>
  <c r="C40" i="3"/>
  <c r="D40" i="3"/>
  <c r="E40" i="3"/>
  <c r="F40" i="3"/>
  <c r="G40" i="3"/>
  <c r="H40" i="3"/>
  <c r="I40" i="3"/>
  <c r="C41" i="3"/>
  <c r="D41" i="3"/>
  <c r="E41" i="3"/>
  <c r="F41" i="3"/>
  <c r="G41" i="3"/>
  <c r="H41" i="3"/>
  <c r="I41" i="3"/>
  <c r="E42" i="3"/>
  <c r="G42" i="3"/>
  <c r="C43" i="3"/>
  <c r="D43" i="3"/>
  <c r="E43" i="3"/>
  <c r="F43" i="3"/>
  <c r="G43" i="3"/>
  <c r="H43" i="3"/>
  <c r="I43" i="3"/>
  <c r="E44" i="3"/>
  <c r="G44" i="3"/>
  <c r="I44" i="3"/>
  <c r="C45" i="3"/>
  <c r="D45" i="3"/>
  <c r="E45" i="3"/>
  <c r="F45" i="3"/>
  <c r="G45" i="3"/>
  <c r="H45" i="3"/>
  <c r="I45" i="3"/>
  <c r="C46" i="3"/>
  <c r="D46" i="3"/>
  <c r="E46" i="3"/>
  <c r="F46" i="3"/>
  <c r="G46" i="3"/>
  <c r="H46" i="3"/>
  <c r="I46" i="3"/>
  <c r="C47" i="3"/>
  <c r="D47" i="3"/>
  <c r="E47" i="3"/>
  <c r="F47" i="3"/>
  <c r="G47" i="3"/>
  <c r="H47" i="3"/>
  <c r="I47" i="3"/>
  <c r="E19" i="3"/>
  <c r="C20" i="3"/>
  <c r="D20" i="3"/>
  <c r="E20" i="3"/>
  <c r="F20" i="3"/>
  <c r="G20" i="3"/>
  <c r="C21" i="3"/>
  <c r="D21" i="3"/>
  <c r="E21" i="3"/>
  <c r="H21" i="3"/>
  <c r="I21" i="3"/>
  <c r="C22" i="3"/>
  <c r="D22" i="3"/>
  <c r="E22" i="3"/>
  <c r="F22" i="3"/>
  <c r="G22" i="3"/>
  <c r="C23" i="3"/>
  <c r="D23" i="3"/>
  <c r="E23" i="3"/>
  <c r="F23" i="3"/>
  <c r="G23" i="3"/>
  <c r="H23" i="3"/>
  <c r="I23" i="3"/>
  <c r="C24" i="3"/>
  <c r="D24" i="3"/>
  <c r="E24" i="3"/>
  <c r="F24" i="3"/>
  <c r="G24" i="3"/>
  <c r="H24" i="3"/>
  <c r="I24" i="3"/>
  <c r="C25" i="3"/>
  <c r="D25" i="3"/>
  <c r="E25" i="3"/>
  <c r="F25" i="3"/>
  <c r="G25" i="3"/>
  <c r="H25" i="3"/>
  <c r="I25" i="3"/>
  <c r="C26" i="3"/>
  <c r="D26" i="3"/>
  <c r="E26" i="3"/>
  <c r="F26" i="3"/>
  <c r="G26" i="3"/>
  <c r="I26" i="3"/>
  <c r="C27" i="3"/>
  <c r="D27" i="3"/>
  <c r="E27" i="3"/>
  <c r="F27" i="3"/>
  <c r="G27" i="3"/>
  <c r="H27" i="3"/>
  <c r="I27" i="3"/>
  <c r="C28" i="3"/>
  <c r="D28" i="3"/>
  <c r="C7" i="3"/>
  <c r="D7" i="3"/>
  <c r="C9" i="3"/>
  <c r="D9" i="3"/>
  <c r="E9" i="3"/>
  <c r="F9" i="3"/>
  <c r="G9" i="3"/>
  <c r="H9" i="3"/>
  <c r="I9" i="3"/>
  <c r="J9" i="3"/>
  <c r="C10" i="3"/>
  <c r="D10" i="3"/>
  <c r="E10" i="3"/>
  <c r="F10" i="3"/>
  <c r="G10" i="3"/>
  <c r="H10" i="3"/>
  <c r="I10" i="3"/>
  <c r="C11" i="3"/>
  <c r="D11" i="3"/>
  <c r="E11" i="3"/>
  <c r="F11" i="3"/>
  <c r="G11" i="3"/>
  <c r="C12" i="3"/>
  <c r="D12" i="3"/>
  <c r="E12" i="3"/>
  <c r="F12" i="3"/>
  <c r="G12" i="3"/>
  <c r="H12" i="3"/>
  <c r="I12" i="3"/>
  <c r="C13" i="3"/>
  <c r="D13" i="3"/>
  <c r="B69" i="15"/>
  <c r="E14" i="3"/>
  <c r="I14" i="3"/>
  <c r="C248" i="9"/>
  <c r="C15" i="3"/>
  <c r="E15" i="3"/>
  <c r="F15" i="3"/>
  <c r="G15" i="3"/>
  <c r="I15" i="3"/>
  <c r="C16" i="3"/>
  <c r="D16" i="3"/>
  <c r="E16" i="3"/>
  <c r="H16" i="3"/>
  <c r="C17" i="3"/>
  <c r="D17" i="3"/>
  <c r="E17" i="3"/>
  <c r="F17" i="3"/>
  <c r="G17" i="3"/>
  <c r="H17" i="3"/>
  <c r="I17" i="3"/>
  <c r="C6" i="3"/>
  <c r="D6" i="3"/>
  <c r="E6" i="3"/>
  <c r="F6" i="3"/>
  <c r="G6" i="3"/>
  <c r="H6" i="3"/>
  <c r="J257" i="9"/>
  <c r="J258" i="9"/>
  <c r="J259" i="9"/>
  <c r="J260" i="9"/>
  <c r="J261" i="9"/>
  <c r="J262" i="9"/>
  <c r="I257" i="9"/>
  <c r="I258" i="9"/>
  <c r="I259" i="9"/>
  <c r="I260" i="9"/>
  <c r="I261" i="9"/>
  <c r="I262" i="9"/>
  <c r="E257" i="9"/>
  <c r="I249" i="9"/>
  <c r="J249" i="9"/>
  <c r="J250" i="9"/>
  <c r="H89" i="6"/>
  <c r="I89" i="6"/>
  <c r="I90" i="6"/>
  <c r="I96" i="6"/>
  <c r="H90" i="6"/>
  <c r="H3" i="18"/>
  <c r="I91" i="6"/>
  <c r="H4" i="18"/>
  <c r="H6" i="18"/>
  <c r="I37" i="6"/>
  <c r="I38" i="6"/>
  <c r="I39" i="6"/>
  <c r="I68" i="6"/>
  <c r="H36" i="6"/>
  <c r="I36" i="6"/>
  <c r="H37" i="6"/>
  <c r="H38" i="6"/>
  <c r="H39" i="6"/>
  <c r="H40" i="6"/>
  <c r="I40" i="6"/>
  <c r="H43" i="6"/>
  <c r="I43" i="6"/>
  <c r="H47" i="6"/>
  <c r="Q48" i="6"/>
  <c r="I47" i="6"/>
  <c r="R48" i="6"/>
  <c r="G31" i="6"/>
  <c r="H132" i="6"/>
  <c r="G32" i="6"/>
  <c r="H67" i="6"/>
  <c r="I67" i="6"/>
  <c r="H66" i="6"/>
  <c r="I66" i="6"/>
  <c r="I131" i="6"/>
  <c r="H31" i="6"/>
  <c r="I132" i="6"/>
  <c r="I31" i="6"/>
  <c r="H32" i="6"/>
  <c r="I32" i="6"/>
  <c r="R32" i="6"/>
  <c r="I16" i="6"/>
  <c r="H2" i="18"/>
  <c r="H3" i="12"/>
  <c r="H4" i="12"/>
  <c r="I2" i="18"/>
  <c r="I3" i="12"/>
  <c r="I4" i="12"/>
  <c r="H10" i="6"/>
  <c r="H21" i="6"/>
  <c r="I21" i="6"/>
  <c r="H9" i="6"/>
  <c r="Q9" i="6"/>
  <c r="H70" i="15"/>
  <c r="H71" i="15"/>
  <c r="H9" i="12"/>
  <c r="I9" i="12"/>
  <c r="H13" i="12"/>
  <c r="K57" i="6"/>
  <c r="Q26" i="6"/>
  <c r="R40" i="6"/>
  <c r="I31" i="9"/>
  <c r="Q25" i="6"/>
  <c r="F28" i="10"/>
  <c r="G28" i="10"/>
  <c r="H28" i="10"/>
  <c r="F26" i="10"/>
  <c r="G26" i="10"/>
  <c r="H26" i="10"/>
  <c r="I26" i="10"/>
  <c r="J26" i="10"/>
  <c r="F23" i="10"/>
  <c r="G23" i="10"/>
  <c r="H23" i="10"/>
  <c r="F21" i="10"/>
  <c r="G21" i="10"/>
  <c r="H21" i="10"/>
  <c r="I21" i="10"/>
  <c r="J21" i="10"/>
  <c r="F18" i="10"/>
  <c r="G18" i="10"/>
  <c r="H18" i="10"/>
  <c r="I18" i="10"/>
  <c r="J18" i="10"/>
  <c r="F15" i="10"/>
  <c r="G15" i="10"/>
  <c r="H15" i="10"/>
  <c r="I15" i="10"/>
  <c r="J15" i="10"/>
  <c r="F13" i="10"/>
  <c r="G13" i="10"/>
  <c r="H13" i="10"/>
  <c r="I13" i="10"/>
  <c r="J13" i="10"/>
  <c r="F11" i="10"/>
  <c r="G11" i="10"/>
  <c r="H11" i="10"/>
  <c r="I11" i="10"/>
  <c r="J11" i="10"/>
  <c r="F9" i="10"/>
  <c r="G9" i="10"/>
  <c r="H9" i="10"/>
  <c r="I9" i="10"/>
  <c r="J9" i="10"/>
  <c r="F7" i="10"/>
  <c r="G7" i="10"/>
  <c r="H7" i="10"/>
  <c r="I7" i="10"/>
  <c r="J7" i="10"/>
  <c r="F5" i="10"/>
  <c r="G5" i="10"/>
  <c r="H5" i="10"/>
  <c r="I5" i="10"/>
  <c r="J5" i="10"/>
  <c r="K5" i="10"/>
  <c r="F262" i="9"/>
  <c r="E262" i="9"/>
  <c r="F44" i="31"/>
  <c r="G44" i="31"/>
  <c r="F105" i="31"/>
  <c r="G105" i="31"/>
  <c r="D11" i="31"/>
  <c r="D10" i="31"/>
  <c r="F257" i="9"/>
  <c r="F258" i="9"/>
  <c r="F259" i="9"/>
  <c r="F260" i="9"/>
  <c r="F261" i="9"/>
  <c r="F256" i="9"/>
  <c r="E258" i="9"/>
  <c r="E259" i="9"/>
  <c r="E260" i="9"/>
  <c r="E261" i="9"/>
  <c r="E256" i="9"/>
  <c r="F99" i="19"/>
  <c r="E101" i="31"/>
  <c r="G22" i="31"/>
  <c r="F22" i="31"/>
  <c r="E22" i="31"/>
  <c r="F25" i="31"/>
  <c r="F101" i="31"/>
  <c r="G101" i="31"/>
  <c r="F102" i="31"/>
  <c r="G102" i="31"/>
  <c r="F103" i="31"/>
  <c r="G103" i="31"/>
  <c r="F104" i="31"/>
  <c r="G104" i="31"/>
  <c r="E102" i="31"/>
  <c r="E103" i="31"/>
  <c r="E104" i="31"/>
  <c r="E105" i="31"/>
  <c r="E83" i="31"/>
  <c r="E89" i="31"/>
  <c r="E72" i="31"/>
  <c r="F72" i="31"/>
  <c r="G72" i="31"/>
  <c r="G74" i="31"/>
  <c r="F74" i="31"/>
  <c r="E74" i="31"/>
  <c r="F84" i="31"/>
  <c r="G84" i="31"/>
  <c r="F85" i="31"/>
  <c r="G85" i="31"/>
  <c r="F86" i="31"/>
  <c r="G86" i="31"/>
  <c r="F87" i="31"/>
  <c r="G87" i="31"/>
  <c r="F88" i="31"/>
  <c r="G88" i="31"/>
  <c r="F90" i="31"/>
  <c r="G90" i="31"/>
  <c r="G83" i="31"/>
  <c r="F83" i="31"/>
  <c r="E84" i="31"/>
  <c r="E85" i="31"/>
  <c r="E86" i="31"/>
  <c r="E87" i="31"/>
  <c r="E88" i="31"/>
  <c r="E73" i="31"/>
  <c r="E90" i="31"/>
  <c r="G63" i="31"/>
  <c r="F63" i="31"/>
  <c r="G62" i="31"/>
  <c r="G61" i="31"/>
  <c r="G60" i="31"/>
  <c r="F60" i="31"/>
  <c r="G59" i="31"/>
  <c r="F59" i="31"/>
  <c r="G58" i="31"/>
  <c r="G57" i="31"/>
  <c r="F57" i="31"/>
  <c r="G55" i="31"/>
  <c r="F55" i="31"/>
  <c r="G56" i="31"/>
  <c r="F56" i="31"/>
  <c r="G43" i="31"/>
  <c r="F43" i="31"/>
  <c r="F40" i="31"/>
  <c r="G41" i="31"/>
  <c r="F41" i="31"/>
  <c r="E7" i="31"/>
  <c r="E6" i="31"/>
  <c r="E28" i="31"/>
  <c r="E27" i="31"/>
  <c r="E26" i="31"/>
  <c r="E25" i="31"/>
  <c r="E24" i="31"/>
  <c r="E23" i="31"/>
  <c r="G8" i="31"/>
  <c r="F8" i="31"/>
  <c r="G23" i="31"/>
  <c r="G24" i="31"/>
  <c r="G6" i="31"/>
  <c r="G25" i="31"/>
  <c r="G26" i="31"/>
  <c r="G27" i="31"/>
  <c r="G7" i="31"/>
  <c r="G28" i="31"/>
  <c r="F23" i="31"/>
  <c r="F24" i="31"/>
  <c r="F6" i="31"/>
  <c r="F26" i="31"/>
  <c r="F27" i="31"/>
  <c r="F7" i="31"/>
  <c r="F28" i="31"/>
  <c r="F97" i="19"/>
  <c r="G1" i="18"/>
  <c r="G13" i="12"/>
  <c r="G9" i="12"/>
  <c r="G4" i="12"/>
  <c r="G3" i="12"/>
  <c r="G2" i="18"/>
  <c r="G89" i="6"/>
  <c r="G6" i="18"/>
  <c r="G4" i="18"/>
  <c r="G3" i="18"/>
  <c r="G14" i="18"/>
  <c r="G90" i="6"/>
  <c r="G47" i="6"/>
  <c r="G43" i="6"/>
  <c r="G40" i="6"/>
  <c r="P40" i="6"/>
  <c r="G39" i="6"/>
  <c r="G38" i="6"/>
  <c r="P38" i="6"/>
  <c r="G37" i="6"/>
  <c r="P37" i="6"/>
  <c r="G36" i="6"/>
  <c r="P36" i="6"/>
  <c r="H131" i="6"/>
  <c r="G67" i="6"/>
  <c r="G12" i="6"/>
  <c r="G20" i="6"/>
  <c r="G10" i="6"/>
  <c r="G21" i="6"/>
  <c r="G9" i="6"/>
  <c r="H249" i="9"/>
  <c r="H250" i="9"/>
  <c r="E177" i="19"/>
  <c r="F177" i="19"/>
  <c r="E178" i="19"/>
  <c r="F178" i="19"/>
  <c r="E179" i="19"/>
  <c r="F179" i="19"/>
  <c r="E180" i="19"/>
  <c r="F180" i="19"/>
  <c r="E181" i="19"/>
  <c r="F181" i="19"/>
  <c r="B70" i="15"/>
  <c r="B71" i="15"/>
  <c r="B249" i="9"/>
  <c r="B248" i="9"/>
  <c r="B250" i="9"/>
  <c r="B67" i="6"/>
  <c r="B37" i="6"/>
  <c r="B38" i="6"/>
  <c r="B39" i="6"/>
  <c r="G151" i="19"/>
  <c r="G152" i="19"/>
  <c r="G153" i="19"/>
  <c r="G154" i="19"/>
  <c r="G150" i="19"/>
  <c r="F151" i="19"/>
  <c r="F152" i="19"/>
  <c r="F153" i="19"/>
  <c r="F154" i="19"/>
  <c r="F150" i="19"/>
  <c r="E151" i="19"/>
  <c r="E152" i="19"/>
  <c r="E153" i="19"/>
  <c r="E154" i="19"/>
  <c r="E150" i="19"/>
  <c r="G132" i="19"/>
  <c r="F132" i="19"/>
  <c r="E132" i="19"/>
  <c r="F131" i="19"/>
  <c r="E131" i="19"/>
  <c r="G140" i="19"/>
  <c r="G141" i="19"/>
  <c r="G142" i="19"/>
  <c r="G143" i="19"/>
  <c r="G144" i="19"/>
  <c r="G130" i="19"/>
  <c r="G145" i="19"/>
  <c r="G139" i="19"/>
  <c r="F140" i="19"/>
  <c r="F141" i="19"/>
  <c r="F142" i="19"/>
  <c r="F143" i="19"/>
  <c r="F144" i="19"/>
  <c r="F130" i="19"/>
  <c r="F145" i="19"/>
  <c r="F139" i="19"/>
  <c r="E140" i="19"/>
  <c r="E141" i="19"/>
  <c r="E142" i="19"/>
  <c r="E143" i="19"/>
  <c r="E144" i="19"/>
  <c r="E130" i="19"/>
  <c r="E145" i="19"/>
  <c r="E139" i="19"/>
  <c r="G114" i="19"/>
  <c r="F114" i="19"/>
  <c r="G113" i="19"/>
  <c r="F113" i="19"/>
  <c r="E113" i="19"/>
  <c r="G112" i="19"/>
  <c r="F112" i="19"/>
  <c r="E112" i="19"/>
  <c r="G121" i="19"/>
  <c r="G122" i="19"/>
  <c r="G123" i="19"/>
  <c r="G124" i="19"/>
  <c r="G125" i="19"/>
  <c r="G126" i="19"/>
  <c r="G127" i="19"/>
  <c r="F121" i="19"/>
  <c r="F122" i="19"/>
  <c r="F123" i="19"/>
  <c r="F124" i="19"/>
  <c r="F125" i="19"/>
  <c r="F126" i="19"/>
  <c r="F127" i="19"/>
  <c r="E121" i="19"/>
  <c r="E122" i="19"/>
  <c r="E123" i="19"/>
  <c r="E124" i="19"/>
  <c r="E125" i="19"/>
  <c r="E126" i="19"/>
  <c r="E127" i="19"/>
  <c r="G105" i="19"/>
  <c r="G106" i="19"/>
  <c r="G107" i="19"/>
  <c r="G108" i="19"/>
  <c r="G109" i="19"/>
  <c r="G104" i="19"/>
  <c r="F106" i="19"/>
  <c r="F109" i="19"/>
  <c r="F104" i="19"/>
  <c r="E105" i="19"/>
  <c r="E107" i="19"/>
  <c r="E108" i="19"/>
  <c r="E109" i="19"/>
  <c r="G97" i="19"/>
  <c r="G98" i="19"/>
  <c r="G99" i="19"/>
  <c r="G100" i="19"/>
  <c r="F98" i="19"/>
  <c r="F100" i="19"/>
  <c r="F13" i="12"/>
  <c r="E13" i="12"/>
  <c r="D13" i="12"/>
  <c r="C13" i="12"/>
  <c r="C5" i="10"/>
  <c r="E70" i="15"/>
  <c r="E71" i="15"/>
  <c r="D70" i="15"/>
  <c r="C70" i="15"/>
  <c r="C21" i="10"/>
  <c r="C23" i="10"/>
  <c r="C13" i="10"/>
  <c r="C15" i="10"/>
  <c r="C7" i="10"/>
  <c r="C9" i="10"/>
  <c r="C11" i="10"/>
  <c r="B131" i="6"/>
  <c r="C18" i="10"/>
  <c r="L2" i="12"/>
  <c r="B4" i="18"/>
  <c r="B134" i="6"/>
  <c r="B243" i="9"/>
  <c r="B245" i="9"/>
  <c r="B132" i="6"/>
  <c r="D5" i="10"/>
  <c r="D28" i="10"/>
  <c r="C28" i="10"/>
  <c r="C26" i="10"/>
  <c r="B244" i="9"/>
  <c r="B246" i="9"/>
  <c r="C1" i="18"/>
  <c r="D1" i="18"/>
  <c r="E1" i="18"/>
  <c r="F1" i="18"/>
  <c r="B1" i="18"/>
  <c r="C4" i="18"/>
  <c r="C6" i="18"/>
  <c r="C16" i="18"/>
  <c r="B13" i="12"/>
  <c r="D9" i="12"/>
  <c r="E9" i="12"/>
  <c r="F9" i="12"/>
  <c r="C9" i="12"/>
  <c r="B3" i="12"/>
  <c r="E28" i="10"/>
  <c r="E26" i="10"/>
  <c r="E23" i="10"/>
  <c r="E21" i="10"/>
  <c r="E18" i="10"/>
  <c r="E15" i="10"/>
  <c r="E13" i="10"/>
  <c r="E11" i="10"/>
  <c r="E9" i="10"/>
  <c r="D26" i="10"/>
  <c r="D23" i="10"/>
  <c r="E7" i="10"/>
  <c r="D7" i="10"/>
  <c r="D21" i="10"/>
  <c r="D18" i="10"/>
  <c r="D15" i="10"/>
  <c r="D13" i="10"/>
  <c r="D11" i="10"/>
  <c r="D9" i="10"/>
  <c r="E5" i="10"/>
  <c r="F90" i="6"/>
  <c r="E90" i="6"/>
  <c r="D90" i="6"/>
  <c r="D99" i="6"/>
  <c r="C90" i="6"/>
  <c r="B90" i="6"/>
  <c r="F89" i="6"/>
  <c r="F96" i="6"/>
  <c r="E89" i="6"/>
  <c r="D89" i="6"/>
  <c r="C89" i="6"/>
  <c r="B89" i="6"/>
  <c r="C12" i="6"/>
  <c r="C20" i="6"/>
  <c r="D12" i="6"/>
  <c r="D20" i="6"/>
  <c r="E12" i="6"/>
  <c r="E20" i="6"/>
  <c r="F12" i="6"/>
  <c r="F20" i="6"/>
  <c r="B12" i="6"/>
  <c r="C2" i="18"/>
  <c r="D7" i="12"/>
  <c r="F2" i="18"/>
  <c r="B7" i="12"/>
  <c r="C10" i="6"/>
  <c r="C21" i="6"/>
  <c r="D10" i="6"/>
  <c r="D21" i="6"/>
  <c r="E10" i="6"/>
  <c r="E21" i="6"/>
  <c r="F10" i="6"/>
  <c r="F21" i="6"/>
  <c r="B10" i="6"/>
  <c r="B21" i="6"/>
  <c r="C9" i="6"/>
  <c r="D9" i="6"/>
  <c r="E9" i="6"/>
  <c r="F9" i="6"/>
  <c r="B9" i="6"/>
  <c r="C4" i="12"/>
  <c r="D4" i="12"/>
  <c r="E4" i="12"/>
  <c r="E3" i="12"/>
  <c r="F4" i="12"/>
  <c r="B4" i="12"/>
  <c r="C3" i="12"/>
  <c r="D3" i="12"/>
  <c r="F3" i="12"/>
  <c r="C39" i="6"/>
  <c r="D39" i="6"/>
  <c r="E39" i="6"/>
  <c r="F39" i="6"/>
  <c r="C38" i="6"/>
  <c r="D38" i="6"/>
  <c r="E38" i="6"/>
  <c r="F38" i="6"/>
  <c r="C37" i="6"/>
  <c r="D37" i="6"/>
  <c r="D68" i="6"/>
  <c r="E37" i="6"/>
  <c r="F37" i="6"/>
  <c r="C36" i="6"/>
  <c r="D36" i="6"/>
  <c r="E36" i="6"/>
  <c r="F36" i="6"/>
  <c r="B36" i="6"/>
  <c r="L35" i="6"/>
  <c r="F68" i="6"/>
  <c r="C3" i="18"/>
  <c r="C14" i="18"/>
  <c r="D3" i="18"/>
  <c r="D2" i="18"/>
  <c r="D14" i="18"/>
  <c r="E3" i="18"/>
  <c r="F94" i="6"/>
  <c r="B99" i="6"/>
  <c r="E134" i="6"/>
  <c r="F134" i="6"/>
  <c r="F6" i="18"/>
  <c r="B6" i="18"/>
  <c r="D249" i="9"/>
  <c r="E249" i="9"/>
  <c r="F249" i="9"/>
  <c r="G249" i="9"/>
  <c r="C249" i="9"/>
  <c r="C31" i="6"/>
  <c r="D132" i="6"/>
  <c r="D31" i="6"/>
  <c r="E31" i="6"/>
  <c r="F132" i="6"/>
  <c r="F31" i="6"/>
  <c r="G132" i="6"/>
  <c r="F109" i="6"/>
  <c r="B31" i="6"/>
  <c r="L48" i="6"/>
  <c r="M48" i="6"/>
  <c r="N35" i="6"/>
  <c r="O48" i="6"/>
  <c r="K48" i="6"/>
  <c r="C47" i="6"/>
  <c r="D47" i="6"/>
  <c r="E47" i="6"/>
  <c r="F47" i="6"/>
  <c r="B47" i="6"/>
  <c r="C43" i="6"/>
  <c r="D43" i="6"/>
  <c r="E43" i="6"/>
  <c r="F43" i="6"/>
  <c r="B43" i="6"/>
  <c r="C40" i="6"/>
  <c r="L40" i="6"/>
  <c r="D40" i="6"/>
  <c r="E40" i="6"/>
  <c r="N40" i="6"/>
  <c r="F40" i="6"/>
  <c r="B40" i="6"/>
  <c r="C32" i="6"/>
  <c r="L32" i="6"/>
  <c r="D32" i="6"/>
  <c r="M32" i="6"/>
  <c r="E32" i="6"/>
  <c r="N32" i="6"/>
  <c r="F32" i="6"/>
  <c r="O32" i="6"/>
  <c r="K32" i="6"/>
  <c r="E66" i="6"/>
  <c r="F66" i="6"/>
  <c r="E67" i="6"/>
  <c r="F67" i="6"/>
  <c r="L25" i="6"/>
  <c r="B2" i="18"/>
  <c r="F7" i="12"/>
  <c r="D71" i="15"/>
  <c r="C250" i="9"/>
  <c r="D250" i="9"/>
  <c r="F250" i="9"/>
  <c r="G250" i="9"/>
  <c r="C11" i="6"/>
  <c r="C7" i="12"/>
  <c r="E7" i="12"/>
  <c r="B11" i="6"/>
  <c r="C8" i="12"/>
  <c r="H10" i="12"/>
  <c r="D8" i="6"/>
  <c r="D17" i="6"/>
  <c r="H134" i="6"/>
  <c r="N9" i="6"/>
  <c r="E16" i="6"/>
  <c r="D8" i="12"/>
  <c r="D11" i="12"/>
  <c r="E252" i="9"/>
  <c r="F252" i="9"/>
  <c r="E10" i="12"/>
  <c r="E250" i="9"/>
  <c r="B247" i="9"/>
  <c r="B10" i="12"/>
  <c r="G252" i="9"/>
  <c r="E68" i="6"/>
  <c r="H252" i="9"/>
  <c r="G10" i="12"/>
  <c r="F10" i="12"/>
  <c r="C252" i="9"/>
  <c r="C10" i="12"/>
  <c r="C11" i="12"/>
  <c r="D108" i="3"/>
  <c r="C94" i="3"/>
  <c r="D252" i="9"/>
  <c r="D10" i="12"/>
  <c r="D4" i="18"/>
  <c r="D134" i="6"/>
  <c r="C134" i="6"/>
  <c r="F108" i="3"/>
  <c r="F94" i="3"/>
  <c r="G134" i="6"/>
  <c r="O39" i="6"/>
  <c r="G102" i="6"/>
  <c r="F4" i="18"/>
  <c r="F8" i="18"/>
  <c r="D102" i="6"/>
  <c r="F102" i="6"/>
  <c r="C106" i="6"/>
  <c r="P47" i="6"/>
  <c r="H108" i="3"/>
  <c r="H94" i="3"/>
  <c r="D94" i="3"/>
  <c r="B66" i="6"/>
  <c r="P48" i="6"/>
  <c r="F11" i="6"/>
  <c r="B8" i="12"/>
  <c r="G11" i="6"/>
  <c r="G18" i="6"/>
  <c r="B11" i="12"/>
  <c r="G108" i="3"/>
  <c r="G94" i="3"/>
  <c r="F8" i="12"/>
  <c r="F11" i="12"/>
  <c r="C108" i="3"/>
  <c r="C109" i="3"/>
  <c r="I3" i="18"/>
  <c r="I3" i="32"/>
  <c r="I14" i="32"/>
  <c r="J94" i="3"/>
  <c r="G109" i="3"/>
  <c r="G5" i="18"/>
  <c r="G5" i="32"/>
  <c r="O35" i="6"/>
  <c r="N25" i="6"/>
  <c r="F108" i="6"/>
  <c r="R25" i="6"/>
  <c r="P25" i="6"/>
  <c r="O27" i="6"/>
  <c r="B8" i="6"/>
  <c r="B17" i="6"/>
  <c r="E4" i="18"/>
  <c r="E6" i="18"/>
  <c r="E8" i="18"/>
  <c r="E9" i="18"/>
  <c r="P32" i="6"/>
  <c r="P43" i="6"/>
  <c r="G109" i="6"/>
  <c r="I6" i="18"/>
  <c r="I4" i="18"/>
  <c r="I16" i="18"/>
  <c r="O31" i="6"/>
  <c r="P30" i="6"/>
  <c r="D108" i="6"/>
  <c r="M26" i="6"/>
  <c r="E8" i="6"/>
  <c r="E17" i="6"/>
  <c r="G66" i="6"/>
  <c r="P39" i="6"/>
  <c r="R27" i="6"/>
  <c r="R43" i="6"/>
  <c r="M30" i="6"/>
  <c r="K9" i="6"/>
  <c r="B19" i="6"/>
  <c r="D96" i="6"/>
  <c r="O38" i="6"/>
  <c r="K11" i="6"/>
  <c r="L26" i="6"/>
  <c r="F131" i="6"/>
  <c r="F135" i="6"/>
  <c r="O43" i="6"/>
  <c r="E94" i="6"/>
  <c r="G68" i="6"/>
  <c r="H106" i="6"/>
  <c r="O36" i="6"/>
  <c r="O26" i="6"/>
  <c r="L27" i="6"/>
  <c r="O40" i="6"/>
  <c r="O47" i="6"/>
  <c r="K25" i="6"/>
  <c r="O37" i="6"/>
  <c r="K30" i="6"/>
  <c r="L30" i="6"/>
  <c r="C102" i="6"/>
  <c r="G106" i="6"/>
  <c r="Q36" i="6"/>
  <c r="Q31" i="6"/>
  <c r="R30" i="6"/>
  <c r="C109" i="6"/>
  <c r="G70" i="6"/>
  <c r="G8" i="6"/>
  <c r="G17" i="6"/>
  <c r="F19" i="6"/>
  <c r="G19" i="6"/>
  <c r="P31" i="6"/>
  <c r="P26" i="6"/>
  <c r="G99" i="6"/>
  <c r="N47" i="6"/>
  <c r="N48" i="6"/>
  <c r="N39" i="6"/>
  <c r="E102" i="6"/>
  <c r="E106" i="6"/>
  <c r="B3" i="18"/>
  <c r="F70" i="6"/>
  <c r="N43" i="6"/>
  <c r="O9" i="6"/>
  <c r="I102" i="6"/>
  <c r="R9" i="6"/>
  <c r="P9" i="6"/>
  <c r="P11" i="6"/>
  <c r="B18" i="6"/>
  <c r="G94" i="6"/>
  <c r="P27" i="6"/>
  <c r="N36" i="6"/>
  <c r="P35" i="6"/>
  <c r="N37" i="6"/>
  <c r="C66" i="6"/>
  <c r="B20" i="6"/>
  <c r="G131" i="6"/>
  <c r="G135" i="6"/>
  <c r="D106" i="6"/>
  <c r="B106" i="6"/>
  <c r="F106" i="6"/>
  <c r="E109" i="6"/>
  <c r="H99" i="6"/>
  <c r="Q47" i="6"/>
  <c r="Q39" i="6"/>
  <c r="Q37" i="6"/>
  <c r="Q35" i="6"/>
  <c r="I108" i="6"/>
  <c r="I99" i="6"/>
  <c r="I105" i="6"/>
  <c r="G16" i="6"/>
  <c r="O30" i="6"/>
  <c r="F3" i="18"/>
  <c r="F14" i="18"/>
  <c r="N38" i="6"/>
  <c r="C16" i="6"/>
  <c r="C96" i="6"/>
  <c r="B108" i="6"/>
  <c r="F12" i="12"/>
  <c r="F14" i="12"/>
  <c r="D94" i="6"/>
  <c r="B135" i="6"/>
  <c r="G108" i="6"/>
  <c r="R36" i="6"/>
  <c r="G15" i="18"/>
  <c r="G16" i="18"/>
  <c r="G17" i="18"/>
  <c r="B16" i="18"/>
  <c r="C8" i="18"/>
  <c r="C10" i="18"/>
  <c r="G8" i="18"/>
  <c r="B8" i="18"/>
  <c r="B10" i="18"/>
  <c r="J12" i="3"/>
  <c r="J10" i="3"/>
  <c r="J47" i="3"/>
  <c r="J23" i="3"/>
  <c r="E54" i="3"/>
  <c r="J51" i="3"/>
  <c r="J6" i="3"/>
  <c r="J27" i="3"/>
  <c r="J24" i="3"/>
  <c r="J45" i="3"/>
  <c r="J49" i="3"/>
  <c r="J25" i="3"/>
  <c r="J46" i="3"/>
  <c r="J53" i="3"/>
  <c r="H116" i="3"/>
  <c r="H117" i="3"/>
  <c r="G70" i="3"/>
  <c r="G32" i="3"/>
  <c r="G19" i="3"/>
  <c r="G30" i="3"/>
  <c r="I115" i="3"/>
  <c r="D30" i="31"/>
  <c r="E30" i="31"/>
  <c r="D117" i="19"/>
  <c r="E117" i="19"/>
  <c r="I30" i="3"/>
  <c r="J116" i="3"/>
  <c r="J117" i="3"/>
  <c r="I70" i="3"/>
  <c r="I32" i="3"/>
  <c r="I19" i="3"/>
  <c r="D118" i="3"/>
  <c r="C44" i="3"/>
  <c r="C34" i="3"/>
  <c r="C38" i="3"/>
  <c r="C42" i="3"/>
  <c r="G70" i="15"/>
  <c r="G71" i="15"/>
  <c r="I70" i="15"/>
  <c r="I71" i="15"/>
  <c r="G16" i="3"/>
  <c r="J16" i="3"/>
  <c r="H14" i="3"/>
  <c r="H44" i="3"/>
  <c r="H32" i="3"/>
  <c r="F72" i="3"/>
  <c r="F68" i="3"/>
  <c r="I64" i="3"/>
  <c r="C85" i="3"/>
  <c r="H79" i="3"/>
  <c r="J79" i="3"/>
  <c r="J118" i="3"/>
  <c r="C26" i="15"/>
  <c r="F26" i="15"/>
  <c r="G8" i="3"/>
  <c r="F49" i="15"/>
  <c r="F16" i="3"/>
  <c r="G14" i="3"/>
  <c r="G21" i="3"/>
  <c r="I42" i="3"/>
  <c r="I68" i="3"/>
  <c r="C69" i="15"/>
  <c r="C79" i="3"/>
  <c r="I68" i="15"/>
  <c r="J115" i="3"/>
  <c r="E68" i="15"/>
  <c r="F115" i="3"/>
  <c r="C68" i="15"/>
  <c r="D115" i="3"/>
  <c r="I118" i="3"/>
  <c r="D77" i="31"/>
  <c r="E77" i="31"/>
  <c r="D135" i="19"/>
  <c r="E135" i="19"/>
  <c r="C61" i="15"/>
  <c r="H26" i="15"/>
  <c r="D49" i="15"/>
  <c r="F70" i="15"/>
  <c r="F71" i="15"/>
  <c r="I16" i="3"/>
  <c r="F14" i="3"/>
  <c r="H42" i="3"/>
  <c r="H38" i="3"/>
  <c r="H34" i="3"/>
  <c r="H30" i="3"/>
  <c r="H72" i="3"/>
  <c r="J72" i="3"/>
  <c r="D72" i="3"/>
  <c r="H64" i="3"/>
  <c r="H66" i="3"/>
  <c r="D64" i="3"/>
  <c r="D66" i="3"/>
  <c r="I85" i="3"/>
  <c r="H81" i="3"/>
  <c r="G68" i="15"/>
  <c r="H115" i="3"/>
  <c r="F68" i="15"/>
  <c r="D68" i="15"/>
  <c r="H118" i="3"/>
  <c r="B26" i="15"/>
  <c r="D26" i="15"/>
  <c r="D61" i="15"/>
  <c r="J43" i="3"/>
  <c r="J39" i="3"/>
  <c r="J35" i="3"/>
  <c r="J31" i="3"/>
  <c r="J69" i="3"/>
  <c r="E65" i="3"/>
  <c r="J75" i="3"/>
  <c r="J17" i="3"/>
  <c r="J14" i="3"/>
  <c r="J21" i="3"/>
  <c r="J40" i="3"/>
  <c r="J36" i="3"/>
  <c r="J76" i="3"/>
  <c r="I66" i="3"/>
  <c r="J60" i="3"/>
  <c r="J83" i="3"/>
  <c r="J80" i="3"/>
  <c r="J41" i="3"/>
  <c r="J37" i="3"/>
  <c r="J33" i="3"/>
  <c r="J71" i="3"/>
  <c r="J77" i="3"/>
  <c r="F64" i="3"/>
  <c r="F66" i="3"/>
  <c r="I61" i="3"/>
  <c r="E61" i="3"/>
  <c r="J61" i="3"/>
  <c r="J81" i="3"/>
  <c r="F120" i="3"/>
  <c r="J68" i="3"/>
  <c r="E64" i="3"/>
  <c r="J74" i="3"/>
  <c r="G64" i="3"/>
  <c r="G66" i="3"/>
  <c r="J56" i="3"/>
  <c r="J85" i="3"/>
  <c r="J82" i="3"/>
  <c r="E108" i="6"/>
  <c r="D131" i="6"/>
  <c r="D135" i="6"/>
  <c r="F16" i="6"/>
  <c r="F99" i="6"/>
  <c r="F105" i="6"/>
  <c r="E19" i="6"/>
  <c r="F8" i="6"/>
  <c r="F17" i="6"/>
  <c r="M43" i="6"/>
  <c r="E132" i="6"/>
  <c r="M31" i="6"/>
  <c r="K36" i="6"/>
  <c r="L36" i="6"/>
  <c r="L37" i="6"/>
  <c r="L38" i="6"/>
  <c r="L39" i="6"/>
  <c r="L9" i="6"/>
  <c r="K39" i="6"/>
  <c r="R35" i="6"/>
  <c r="R38" i="6"/>
  <c r="Q30" i="6"/>
  <c r="I70" i="6"/>
  <c r="M36" i="6"/>
  <c r="M38" i="6"/>
  <c r="K35" i="6"/>
  <c r="E99" i="6"/>
  <c r="E12" i="12"/>
  <c r="N27" i="6"/>
  <c r="G96" i="6"/>
  <c r="E96" i="6"/>
  <c r="C18" i="6"/>
  <c r="C68" i="6"/>
  <c r="C67" i="6"/>
  <c r="C108" i="6"/>
  <c r="F5" i="32"/>
  <c r="B94" i="6"/>
  <c r="O25" i="6"/>
  <c r="N30" i="6"/>
  <c r="C131" i="6"/>
  <c r="D16" i="6"/>
  <c r="M25" i="6"/>
  <c r="D66" i="6"/>
  <c r="M27" i="6"/>
  <c r="K43" i="6"/>
  <c r="L43" i="6"/>
  <c r="M47" i="6"/>
  <c r="C132" i="6"/>
  <c r="B109" i="6"/>
  <c r="D109" i="6"/>
  <c r="H109" i="6"/>
  <c r="I109" i="6"/>
  <c r="K109" i="6"/>
  <c r="K31" i="6"/>
  <c r="K38" i="6"/>
  <c r="K26" i="6"/>
  <c r="R39" i="6"/>
  <c r="Q27" i="6"/>
  <c r="Q43" i="6"/>
  <c r="Q40" i="6"/>
  <c r="Q38" i="6"/>
  <c r="I106" i="6"/>
  <c r="H12" i="12"/>
  <c r="H108" i="6"/>
  <c r="M37" i="6"/>
  <c r="M39" i="6"/>
  <c r="B96" i="6"/>
  <c r="C94" i="6"/>
  <c r="B68" i="6"/>
  <c r="C99" i="6"/>
  <c r="N31" i="6"/>
  <c r="N26" i="6"/>
  <c r="B102" i="6"/>
  <c r="D6" i="18"/>
  <c r="D16" i="18"/>
  <c r="E131" i="6"/>
  <c r="D67" i="6"/>
  <c r="C19" i="6"/>
  <c r="D19" i="6"/>
  <c r="D105" i="6"/>
  <c r="C8" i="6"/>
  <c r="C17" i="6"/>
  <c r="L11" i="6"/>
  <c r="K40" i="6"/>
  <c r="M40" i="6"/>
  <c r="K47" i="6"/>
  <c r="L47" i="6"/>
  <c r="L31" i="6"/>
  <c r="M35" i="6"/>
  <c r="M9" i="6"/>
  <c r="K37" i="6"/>
  <c r="K27" i="6"/>
  <c r="K59" i="6"/>
  <c r="I94" i="6"/>
  <c r="R47" i="6"/>
  <c r="H94" i="6"/>
  <c r="R37" i="6"/>
  <c r="G12" i="12"/>
  <c r="F16" i="18"/>
  <c r="D12" i="12"/>
  <c r="D14" i="12"/>
  <c r="B14" i="18"/>
  <c r="H65" i="3"/>
  <c r="H67" i="3"/>
  <c r="H57" i="3"/>
  <c r="J57" i="3"/>
  <c r="G65" i="3"/>
  <c r="G67" i="3"/>
  <c r="C64" i="3"/>
  <c r="F65" i="3"/>
  <c r="F67" i="3"/>
  <c r="E67" i="3"/>
  <c r="D65" i="3"/>
  <c r="D67" i="3"/>
  <c r="C65" i="3"/>
  <c r="C5" i="32"/>
  <c r="B18" i="12"/>
  <c r="B12" i="12"/>
  <c r="B14" i="12"/>
  <c r="F10" i="18"/>
  <c r="F9" i="18"/>
  <c r="F18" i="6"/>
  <c r="O11" i="6"/>
  <c r="H109" i="3"/>
  <c r="D109" i="3"/>
  <c r="D11" i="6"/>
  <c r="M11" i="6"/>
  <c r="E109" i="3"/>
  <c r="H135" i="6"/>
  <c r="D8" i="18"/>
  <c r="D10" i="18"/>
  <c r="F109" i="3"/>
  <c r="E2" i="18"/>
  <c r="F5" i="18"/>
  <c r="I23" i="10"/>
  <c r="K23" i="10"/>
  <c r="I27" i="10"/>
  <c r="I252" i="9"/>
  <c r="I10" i="12"/>
  <c r="I103" i="3"/>
  <c r="H11" i="6"/>
  <c r="R11" i="6"/>
  <c r="I18" i="6"/>
  <c r="J105" i="3"/>
  <c r="J108" i="3"/>
  <c r="J109" i="3"/>
  <c r="J23" i="10"/>
  <c r="J27" i="10"/>
  <c r="R31" i="6"/>
  <c r="I134" i="6"/>
  <c r="H68" i="6"/>
  <c r="H70" i="6"/>
  <c r="H7" i="12"/>
  <c r="H8" i="12"/>
  <c r="H11" i="12"/>
  <c r="I17" i="6"/>
  <c r="Q32" i="6"/>
  <c r="J252" i="9"/>
  <c r="H15" i="3"/>
  <c r="J15" i="3"/>
  <c r="H26" i="3"/>
  <c r="J26" i="3"/>
  <c r="I52" i="3"/>
  <c r="I54" i="3"/>
  <c r="I50" i="3"/>
  <c r="J50" i="3"/>
  <c r="G73" i="3"/>
  <c r="J73" i="3"/>
  <c r="I84" i="3"/>
  <c r="E84" i="3"/>
  <c r="I7" i="12"/>
  <c r="I8" i="12"/>
  <c r="I11" i="12"/>
  <c r="R26" i="6"/>
  <c r="I13" i="12"/>
  <c r="H8" i="6"/>
  <c r="H17" i="6"/>
  <c r="H16" i="18"/>
  <c r="H8" i="18"/>
  <c r="H10" i="18"/>
  <c r="H84" i="3"/>
  <c r="D84" i="3"/>
  <c r="H102" i="6"/>
  <c r="H16" i="6"/>
  <c r="H96" i="6"/>
  <c r="I250" i="9"/>
  <c r="C73" i="3"/>
  <c r="G7" i="12"/>
  <c r="G8" i="12"/>
  <c r="G11" i="12"/>
  <c r="H14" i="18"/>
  <c r="I14" i="18"/>
  <c r="F61" i="15"/>
  <c r="G15" i="32"/>
  <c r="G17" i="32"/>
  <c r="G11" i="32"/>
  <c r="G12" i="32" s="1"/>
  <c r="D5" i="18"/>
  <c r="D15" i="18"/>
  <c r="D5" i="32"/>
  <c r="C15" i="32"/>
  <c r="C17" i="32"/>
  <c r="E5" i="18"/>
  <c r="E5" i="32"/>
  <c r="F15" i="32"/>
  <c r="F17" i="32"/>
  <c r="B166" i="6"/>
  <c r="K10" i="6"/>
  <c r="G105" i="6"/>
  <c r="I8" i="18"/>
  <c r="I9" i="18"/>
  <c r="C12" i="12"/>
  <c r="C14" i="12"/>
  <c r="B9" i="18"/>
  <c r="E16" i="18"/>
  <c r="C105" i="6"/>
  <c r="K60" i="6"/>
  <c r="G14" i="12"/>
  <c r="C9" i="18"/>
  <c r="Q10" i="6"/>
  <c r="F15" i="18"/>
  <c r="F17" i="18"/>
  <c r="K58" i="6"/>
  <c r="K61" i="6"/>
  <c r="B70" i="6"/>
  <c r="E70" i="6"/>
  <c r="N51" i="6"/>
  <c r="E166" i="6"/>
  <c r="N10" i="6"/>
  <c r="F166" i="6"/>
  <c r="O10" i="6"/>
  <c r="E135" i="6"/>
  <c r="N108" i="6"/>
  <c r="N109" i="6"/>
  <c r="I135" i="6"/>
  <c r="C70" i="6"/>
  <c r="L10" i="6"/>
  <c r="E105" i="6"/>
  <c r="H14" i="12"/>
  <c r="G10" i="18"/>
  <c r="G9" i="18"/>
  <c r="G11" i="18"/>
  <c r="G12" i="18"/>
  <c r="J52" i="3"/>
  <c r="J54" i="3"/>
  <c r="J120" i="3"/>
  <c r="J121" i="3"/>
  <c r="C83" i="3"/>
  <c r="C71" i="15"/>
  <c r="C72" i="3"/>
  <c r="C14" i="3"/>
  <c r="J84" i="3"/>
  <c r="J67" i="3"/>
  <c r="E115" i="3"/>
  <c r="D116" i="3"/>
  <c r="D117" i="3"/>
  <c r="C70" i="3"/>
  <c r="C19" i="3"/>
  <c r="C8" i="3"/>
  <c r="C32" i="3"/>
  <c r="E8" i="3"/>
  <c r="D8" i="3"/>
  <c r="E116" i="3"/>
  <c r="E117" i="3"/>
  <c r="D70" i="3"/>
  <c r="D19" i="3"/>
  <c r="G115" i="3"/>
  <c r="D30" i="3"/>
  <c r="D34" i="3"/>
  <c r="D38" i="3"/>
  <c r="D42" i="3"/>
  <c r="E118" i="3"/>
  <c r="D32" i="3"/>
  <c r="D44" i="3"/>
  <c r="D14" i="3"/>
  <c r="F70" i="3"/>
  <c r="F19" i="3"/>
  <c r="F8" i="3"/>
  <c r="G116" i="3"/>
  <c r="G117" i="3"/>
  <c r="C116" i="3"/>
  <c r="C117" i="3"/>
  <c r="H120" i="3"/>
  <c r="I116" i="3"/>
  <c r="I117" i="3"/>
  <c r="H8" i="3"/>
  <c r="H70" i="3"/>
  <c r="F32" i="3"/>
  <c r="J32" i="3"/>
  <c r="F44" i="3"/>
  <c r="J44" i="3"/>
  <c r="F30" i="3"/>
  <c r="J30" i="3"/>
  <c r="F34" i="3"/>
  <c r="J34" i="3"/>
  <c r="F38" i="3"/>
  <c r="J38" i="3"/>
  <c r="F42" i="3"/>
  <c r="J42" i="3"/>
  <c r="G118" i="3"/>
  <c r="C115" i="3"/>
  <c r="C30" i="3"/>
  <c r="I8" i="3"/>
  <c r="E66" i="3"/>
  <c r="J66" i="3"/>
  <c r="J64" i="3"/>
  <c r="J65" i="3"/>
  <c r="F93" i="3"/>
  <c r="F121" i="3"/>
  <c r="K108" i="6"/>
  <c r="D17" i="18"/>
  <c r="G166" i="6"/>
  <c r="M10" i="6"/>
  <c r="D166" i="6"/>
  <c r="D70" i="6"/>
  <c r="I12" i="12"/>
  <c r="I14" i="12"/>
  <c r="P10" i="6"/>
  <c r="B105" i="6"/>
  <c r="N72" i="6"/>
  <c r="C135" i="6"/>
  <c r="D9" i="18"/>
  <c r="D11" i="18"/>
  <c r="D12" i="18"/>
  <c r="I10" i="18"/>
  <c r="E10" i="18"/>
  <c r="C67" i="3"/>
  <c r="C66" i="3"/>
  <c r="D18" i="6"/>
  <c r="I166" i="6"/>
  <c r="R10" i="6"/>
  <c r="I28" i="10"/>
  <c r="H11" i="3"/>
  <c r="H20" i="3"/>
  <c r="H22" i="3"/>
  <c r="H12" i="6"/>
  <c r="I109" i="3"/>
  <c r="H9" i="18"/>
  <c r="C166" i="6"/>
  <c r="E11" i="6"/>
  <c r="E8" i="12"/>
  <c r="E11" i="12"/>
  <c r="E14" i="12"/>
  <c r="E14" i="18"/>
  <c r="I20" i="3"/>
  <c r="I22" i="3"/>
  <c r="I12" i="6"/>
  <c r="J28" i="10"/>
  <c r="I11" i="3"/>
  <c r="H18" i="6"/>
  <c r="Q11" i="6"/>
  <c r="F11" i="18"/>
  <c r="F12" i="18"/>
  <c r="H105" i="6"/>
  <c r="H166" i="6"/>
  <c r="C5" i="18"/>
  <c r="C15" i="18"/>
  <c r="C17" i="18"/>
  <c r="E11" i="18"/>
  <c r="E12" i="18"/>
  <c r="H5" i="18"/>
  <c r="H15" i="18"/>
  <c r="H17" i="18"/>
  <c r="H5" i="32"/>
  <c r="I5" i="18"/>
  <c r="I15" i="18"/>
  <c r="I17" i="18"/>
  <c r="I5" i="32"/>
  <c r="E15" i="32"/>
  <c r="E17" i="32"/>
  <c r="D15" i="32"/>
  <c r="D17" i="32"/>
  <c r="B5" i="18"/>
  <c r="B15" i="18"/>
  <c r="B17" i="18"/>
  <c r="N53" i="6"/>
  <c r="H11" i="18"/>
  <c r="H12" i="18"/>
  <c r="N52" i="6"/>
  <c r="K105" i="6"/>
  <c r="N105" i="6"/>
  <c r="J22" i="3"/>
  <c r="D120" i="3"/>
  <c r="J11" i="3"/>
  <c r="E120" i="3"/>
  <c r="E93" i="3"/>
  <c r="I120" i="3"/>
  <c r="D93" i="3"/>
  <c r="D121" i="3"/>
  <c r="I93" i="3"/>
  <c r="I121" i="3"/>
  <c r="C120" i="3"/>
  <c r="J19" i="3"/>
  <c r="J8" i="3"/>
  <c r="H93" i="3"/>
  <c r="H121" i="3"/>
  <c r="J70" i="3"/>
  <c r="G120" i="3"/>
  <c r="J20" i="3"/>
  <c r="H19" i="6"/>
  <c r="H20" i="6"/>
  <c r="E15" i="18"/>
  <c r="E17" i="18"/>
  <c r="I19" i="6"/>
  <c r="I20" i="6"/>
  <c r="E18" i="6"/>
  <c r="N11" i="6"/>
  <c r="C11" i="18"/>
  <c r="C12" i="18"/>
  <c r="B11" i="18"/>
  <c r="B12" i="18"/>
  <c r="H15" i="32"/>
  <c r="H17" i="32"/>
  <c r="I11" i="18"/>
  <c r="I12" i="18"/>
  <c r="I15" i="32"/>
  <c r="I17" i="32"/>
  <c r="B15" i="32"/>
  <c r="B17" i="32"/>
  <c r="E121" i="3"/>
  <c r="G121" i="3"/>
  <c r="G93" i="3"/>
  <c r="J93" i="3"/>
  <c r="C121" i="3"/>
  <c r="C93" i="3"/>
  <c r="D9" i="60" l="1"/>
  <c r="D10" i="60" s="1"/>
  <c r="H9" i="60"/>
  <c r="H10" i="60" s="1"/>
  <c r="G6" i="63"/>
  <c r="G10" i="63"/>
  <c r="H97" i="57"/>
  <c r="H98" i="57" s="1"/>
  <c r="H108" i="57" s="1"/>
  <c r="D97" i="57"/>
  <c r="D98" i="57" s="1"/>
  <c r="D108" i="57" s="1"/>
  <c r="B95" i="57"/>
  <c r="B97" i="57" s="1"/>
  <c r="B98" i="57" s="1"/>
  <c r="B108" i="57" s="1"/>
  <c r="B110" i="57" s="1"/>
  <c r="G8" i="63"/>
  <c r="G7" i="63"/>
  <c r="G16" i="63"/>
  <c r="H16" i="63" s="1"/>
  <c r="G17" i="63"/>
  <c r="H17" i="63" s="1"/>
  <c r="I16" i="63" s="1"/>
  <c r="G19" i="46"/>
  <c r="F10" i="46"/>
  <c r="E30" i="46"/>
  <c r="E31" i="46" s="1"/>
  <c r="E32" i="46" s="1"/>
  <c r="E33" i="46" s="1"/>
  <c r="E34" i="46" s="1"/>
  <c r="E35" i="46" s="1"/>
  <c r="E36" i="46" s="1"/>
  <c r="E37" i="46" s="1"/>
  <c r="E38" i="46" s="1"/>
  <c r="E39" i="46" s="1"/>
  <c r="B29" i="44"/>
  <c r="C34" i="44" s="1"/>
  <c r="D34" i="44" s="1"/>
  <c r="D35" i="44" s="1"/>
  <c r="B38" i="44" s="1"/>
  <c r="B4" i="46" s="1"/>
  <c r="G5" i="63"/>
  <c r="G30" i="46" l="1"/>
  <c r="B11" i="46"/>
  <c r="E19" i="46"/>
  <c r="E20" i="46" s="1"/>
  <c r="E21" i="46" s="1"/>
  <c r="E22" i="46" s="1"/>
  <c r="E23" i="46" s="1"/>
  <c r="E24" i="46" s="1"/>
  <c r="E25" i="46" s="1"/>
  <c r="E26" i="46" s="1"/>
  <c r="F9" i="46"/>
  <c r="B111" i="57"/>
  <c r="C109" i="57"/>
  <c r="C110" i="57" s="1"/>
  <c r="D109" i="57" l="1"/>
  <c r="D110" i="57" s="1"/>
  <c r="C111" i="57"/>
  <c r="J13" i="60"/>
  <c r="K13" i="60" s="1"/>
  <c r="B15" i="46"/>
  <c r="B2" i="51"/>
  <c r="F8" i="46"/>
  <c r="B6" i="49"/>
  <c r="B11" i="49" l="1"/>
  <c r="B12" i="49" s="1"/>
  <c r="B10" i="49"/>
  <c r="L13" i="60"/>
  <c r="K14" i="60"/>
  <c r="C11" i="51"/>
  <c r="C12" i="51" s="1"/>
  <c r="C15" i="51" s="1"/>
  <c r="I10" i="51"/>
  <c r="D10" i="51"/>
  <c r="C10" i="51"/>
  <c r="F10" i="51"/>
  <c r="H11" i="51"/>
  <c r="H12" i="51" s="1"/>
  <c r="H15" i="51" s="1"/>
  <c r="G11" i="51"/>
  <c r="G12" i="51" s="1"/>
  <c r="G15" i="51" s="1"/>
  <c r="F11" i="51"/>
  <c r="F12" i="51" s="1"/>
  <c r="F15" i="51" s="1"/>
  <c r="D11" i="51"/>
  <c r="D12" i="51" s="1"/>
  <c r="D15" i="51" s="1"/>
  <c r="E10" i="51"/>
  <c r="B10" i="51"/>
  <c r="J10" i="51"/>
  <c r="I11" i="51"/>
  <c r="I12" i="51" s="1"/>
  <c r="I15" i="51" s="1"/>
  <c r="G10" i="51"/>
  <c r="H10" i="51"/>
  <c r="J11" i="51"/>
  <c r="J12" i="51" s="1"/>
  <c r="J15" i="51" s="1"/>
  <c r="B11" i="51"/>
  <c r="B12" i="51" s="1"/>
  <c r="E11" i="51"/>
  <c r="E12" i="51" s="1"/>
  <c r="E15" i="51" s="1"/>
  <c r="D111" i="57"/>
  <c r="E109" i="57"/>
  <c r="E110" i="57" s="1"/>
  <c r="E111" i="57" l="1"/>
  <c r="F109" i="57"/>
  <c r="F110" i="57" s="1"/>
  <c r="M13" i="60"/>
  <c r="L14" i="60"/>
  <c r="B15" i="51"/>
  <c r="B16" i="51" s="1"/>
  <c r="B13" i="51"/>
  <c r="N13" i="60" l="1"/>
  <c r="M14" i="60"/>
  <c r="G109" i="57"/>
  <c r="G110" i="57" s="1"/>
  <c r="F111" i="57"/>
  <c r="H109" i="57" l="1"/>
  <c r="H110" i="57" s="1"/>
  <c r="G111" i="57"/>
  <c r="O13" i="60"/>
  <c r="N14" i="60"/>
  <c r="P13" i="60" l="1"/>
  <c r="P14" i="60" s="1"/>
  <c r="O14" i="60"/>
  <c r="H111" i="57"/>
  <c r="I109" i="57"/>
  <c r="I110" i="57" s="1"/>
  <c r="I111" i="57" l="1"/>
  <c r="J19" i="60"/>
  <c r="J109" i="57"/>
  <c r="K8" i="60" l="1"/>
  <c r="L8" i="60"/>
  <c r="M8" i="60"/>
  <c r="N8" i="60"/>
  <c r="O8" i="60"/>
  <c r="P8" i="60"/>
  <c r="K10" i="60"/>
  <c r="L10" i="60"/>
  <c r="M10" i="60"/>
  <c r="N10" i="60"/>
  <c r="O10" i="60"/>
  <c r="P10" i="60"/>
  <c r="P11" i="60"/>
  <c r="K12" i="60"/>
  <c r="L12" i="60"/>
  <c r="M12" i="60"/>
  <c r="N12" i="60"/>
  <c r="O12" i="60"/>
  <c r="P12" i="60"/>
  <c r="J16" i="60"/>
  <c r="J21" i="60"/>
  <c r="L21" i="60"/>
  <c r="J36" i="57"/>
  <c r="K36" i="57"/>
  <c r="L36" i="57"/>
  <c r="M36" i="57"/>
  <c r="N36" i="57"/>
  <c r="O36" i="57"/>
  <c r="J41" i="57"/>
  <c r="K41" i="57"/>
  <c r="L41" i="57"/>
  <c r="M41" i="57"/>
  <c r="N41" i="57"/>
  <c r="O41" i="57"/>
  <c r="J50" i="57"/>
  <c r="K50" i="57"/>
  <c r="L50" i="57"/>
  <c r="M50" i="57"/>
  <c r="N50" i="57"/>
  <c r="O50" i="57"/>
  <c r="J82" i="57"/>
  <c r="K82" i="57"/>
  <c r="L82" i="57"/>
  <c r="M82" i="57"/>
  <c r="N82" i="57"/>
  <c r="O82" i="57"/>
  <c r="J85" i="57"/>
  <c r="K85" i="57"/>
  <c r="L85" i="57"/>
  <c r="M85" i="57"/>
  <c r="N85" i="57"/>
  <c r="O85" i="57"/>
  <c r="J95" i="57"/>
  <c r="K95" i="57"/>
  <c r="L95" i="57"/>
  <c r="M95" i="57"/>
  <c r="N95" i="57"/>
  <c r="O95" i="57"/>
  <c r="J97" i="57"/>
  <c r="K97" i="57"/>
  <c r="L97" i="57"/>
  <c r="M97" i="57"/>
  <c r="N97" i="57"/>
  <c r="O97" i="57"/>
  <c r="J98" i="57"/>
  <c r="K98" i="57"/>
  <c r="L98" i="57"/>
  <c r="M98" i="57"/>
  <c r="N98" i="57"/>
  <c r="O98" i="57"/>
  <c r="J108" i="57"/>
  <c r="K108" i="57"/>
  <c r="L108" i="57"/>
  <c r="M108" i="57"/>
  <c r="N108" i="57"/>
  <c r="O108" i="57"/>
  <c r="K109" i="57"/>
  <c r="L109" i="57"/>
  <c r="M109" i="57"/>
  <c r="N109" i="57"/>
  <c r="O109" i="57"/>
  <c r="J110" i="57"/>
  <c r="K110" i="57"/>
  <c r="L110" i="57"/>
  <c r="M110" i="57"/>
  <c r="N110" i="57"/>
  <c r="O110" i="57"/>
  <c r="J111" i="57"/>
  <c r="K111" i="57"/>
  <c r="L111" i="57"/>
  <c r="M111" i="57"/>
  <c r="N111" i="57"/>
  <c r="O111" i="57"/>
  <c r="C23" i="63"/>
  <c r="J41" i="55"/>
  <c r="K41" i="55"/>
  <c r="L41" i="55"/>
  <c r="M41" i="55"/>
  <c r="N41" i="55"/>
  <c r="O41" i="55"/>
  <c r="J43" i="55"/>
  <c r="K43" i="55"/>
  <c r="L43" i="55"/>
  <c r="M43" i="55"/>
  <c r="N43" i="55"/>
  <c r="O43" i="55"/>
  <c r="J44" i="55"/>
  <c r="K44" i="55"/>
  <c r="L44" i="55"/>
  <c r="M44" i="55"/>
  <c r="N44" i="55"/>
  <c r="O44" i="55"/>
  <c r="F7" i="46"/>
  <c r="F12" i="46"/>
  <c r="I19" i="46"/>
  <c r="J20" i="46"/>
  <c r="I30" i="46"/>
  <c r="J31" i="46"/>
</calcChain>
</file>

<file path=xl/comments1.xml><?xml version="1.0" encoding="utf-8"?>
<comments xmlns="http://schemas.openxmlformats.org/spreadsheetml/2006/main">
  <authors>
    <author>Admin</author>
  </authors>
  <commentList>
    <comment ref="A52" authorId="0" shapeId="0">
      <text>
        <r>
          <rPr>
            <b/>
            <sz val="8"/>
            <color indexed="81"/>
            <rFont val="Tahoma"/>
            <family val="2"/>
          </rPr>
          <t>Para evaluación se han tomado todos los inventarios (MP, PP, PT) y su analisis periodico permite inferir mejoras o problemas en el desempeño.</t>
        </r>
      </text>
    </comment>
    <comment ref="A57" authorId="0" shapeId="0">
      <text>
        <r>
          <rPr>
            <b/>
            <sz val="8"/>
            <color indexed="81"/>
            <rFont val="Tahoma"/>
            <family val="2"/>
          </rPr>
          <t xml:space="preserve">Para evaluación se han tomado todos los inventarios (MP, PP, PT) para el año 2006 </t>
        </r>
        <r>
          <rPr>
            <sz val="8"/>
            <color indexed="81"/>
            <rFont val="Tahoma"/>
            <family val="2"/>
          </rPr>
          <t xml:space="preserve">
</t>
        </r>
      </text>
    </comment>
    <comment ref="A59" authorId="0" shapeId="0">
      <text>
        <r>
          <rPr>
            <b/>
            <sz val="8"/>
            <color indexed="81"/>
            <rFont val="Tahoma"/>
            <family val="2"/>
          </rPr>
          <t xml:space="preserve">Para evaluación se han tomado todos los inventarios (MP, PP, PT)
</t>
        </r>
      </text>
    </comment>
    <comment ref="K96" authorId="0" shapeId="0">
      <text>
        <r>
          <rPr>
            <b/>
            <sz val="8"/>
            <color indexed="81"/>
            <rFont val="Tahoma"/>
            <family val="2"/>
          </rPr>
          <t>Mide la capacidad de generación de utilidades operacionales despues de impuestos. Es un indicador que mide la gestión operativa y debe situarse idealmente por encima de la inflación y debe proporcionar indicios sobre la productividad de la compañía</t>
        </r>
      </text>
    </comment>
    <comment ref="K99" authorId="0" shapeId="0">
      <text>
        <r>
          <rPr>
            <b/>
            <sz val="8"/>
            <color indexed="81"/>
            <rFont val="Tahoma"/>
            <family val="2"/>
          </rPr>
          <t>Mide la capacidad de los activos para generar ventas. De la calidad de las inversiones pueden esperarse ventas incrementales sostenidas. Por ejemplo: Planta de producción eficiente; red de distribución propia; modelos de franquicia complementarios, entre otros. Puede incluir la valorización de activos intangibles como marcas, patentes; aunque de no tenerlos valorados finalmente se reflejan en el Flujo de Caja.</t>
        </r>
      </text>
    </comment>
    <comment ref="K101" authorId="0" shapeId="0">
      <text>
        <r>
          <rPr>
            <b/>
            <sz val="8"/>
            <color indexed="81"/>
            <rFont val="Tahoma"/>
            <family val="2"/>
          </rPr>
          <t xml:space="preserve">En caso que la Compañía no tenga deuda, éste indicador  es equivalente a 1 y no afecta el valor del ROE. Sin embargo cuando existe deuda el indicador es mayor que 1 y genera un incremento en el ROE proporcional a su magnitud (La razon D/P es muy importante en valoración de empresas por citar un caso). Se espera que los dos indicadores anteriores que aportan al ROE sean positivos para que el apalancamiento genere valor de lo contrario se considera altamente riesgoso. No es recomendable que en el cálculo del ROE por el modelo Dupont el mayor impacto lo tenga el indicador de Apalancamiento </t>
        </r>
      </text>
    </comment>
  </commentList>
</comments>
</file>

<file path=xl/comments10.xml><?xml version="1.0" encoding="utf-8"?>
<comments xmlns="http://schemas.openxmlformats.org/spreadsheetml/2006/main">
  <authors>
    <author>USUARIO</author>
    <author>usuario1</author>
  </authors>
  <commentList>
    <comment ref="C18" authorId="0" shapeId="0">
      <text>
        <r>
          <rPr>
            <b/>
            <sz val="9"/>
            <color indexed="81"/>
            <rFont val="Tahoma"/>
            <family val="2"/>
          </rPr>
          <t>USUARIO:</t>
        </r>
        <r>
          <rPr>
            <sz val="9"/>
            <color indexed="81"/>
            <rFont val="Tahoma"/>
            <family val="2"/>
          </rPr>
          <t xml:space="preserve">
Fecha de consulta 04/07/2016 Bloomberg</t>
        </r>
      </text>
    </comment>
    <comment ref="C19" authorId="0" shapeId="0">
      <text>
        <r>
          <rPr>
            <b/>
            <sz val="9"/>
            <color indexed="81"/>
            <rFont val="Tahoma"/>
            <family val="2"/>
          </rPr>
          <t>USUARIO:</t>
        </r>
        <r>
          <rPr>
            <sz val="9"/>
            <color indexed="81"/>
            <rFont val="Tahoma"/>
            <family val="2"/>
          </rPr>
          <t xml:space="preserve">
Fecha de consulta 04/07/2016 Grupo Aval</t>
        </r>
      </text>
    </comment>
    <comment ref="C23" authorId="0" shapeId="0">
      <text>
        <r>
          <rPr>
            <b/>
            <sz val="9"/>
            <color indexed="81"/>
            <rFont val="Tahoma"/>
            <family val="2"/>
          </rPr>
          <t>USUARIO:</t>
        </r>
        <r>
          <rPr>
            <sz val="9"/>
            <color indexed="81"/>
            <rFont val="Tahoma"/>
            <family val="2"/>
          </rPr>
          <t xml:space="preserve">
Fecha de consulta 04/07/2016 Ambito</t>
        </r>
      </text>
    </comment>
    <comment ref="C31" authorId="1" shapeId="0">
      <text>
        <r>
          <rPr>
            <b/>
            <sz val="9"/>
            <color indexed="81"/>
            <rFont val="Tahoma"/>
            <family val="2"/>
          </rPr>
          <t>usuario1:</t>
        </r>
        <r>
          <rPr>
            <sz val="9"/>
            <color indexed="81"/>
            <rFont val="Tahoma"/>
            <family val="2"/>
          </rPr>
          <t xml:space="preserve">
El costo de los recursos que los inversionistas pusieron es del 23.02%</t>
        </r>
      </text>
    </comment>
  </commentList>
</comments>
</file>

<file path=xl/comments11.xml><?xml version="1.0" encoding="utf-8"?>
<comments xmlns="http://schemas.openxmlformats.org/spreadsheetml/2006/main">
  <authors>
    <author>usuario1</author>
  </authors>
  <commentList>
    <comment ref="B11" authorId="0" shapeId="0">
      <text>
        <r>
          <rPr>
            <b/>
            <sz val="9"/>
            <color indexed="81"/>
            <rFont val="Tahoma"/>
            <family val="2"/>
          </rPr>
          <t>Conclusiones:</t>
        </r>
        <r>
          <rPr>
            <sz val="9"/>
            <color indexed="81"/>
            <rFont val="Tahoma"/>
            <family val="2"/>
          </rPr>
          <t xml:space="preserve">
1) Si la compañía se endeuda por encima del WACC (13.6%) no es prudente para la compañía. Por lo tanto, no genera EVA y va a influir en la rentabilidad de la empresa.
2) Si da descuentos comerciales, y al llevarlos a tasa efectiva superan el WACC, no es prudente para la compañía.
3) Los descuentos financieros deben estar por encima del WACC.
4) Si una empresa entra en un proyecto interno o externo donde, la TIR de los proyectos esten por debajo del WACC, no deben ser aprovados porque no son viables.
5) Si al inversionista le generan dividendos que anualizandolos frente a su aporte accionario están por debajo del WACC, significa que no le generan valor para el inversionista.</t>
        </r>
      </text>
    </comment>
    <comment ref="B15" authorId="0" shapeId="0">
      <text>
        <r>
          <rPr>
            <b/>
            <sz val="9"/>
            <color indexed="81"/>
            <rFont val="Tahoma"/>
            <family val="2"/>
          </rPr>
          <t>usuario1:</t>
        </r>
        <r>
          <rPr>
            <sz val="9"/>
            <color indexed="81"/>
            <rFont val="Tahoma"/>
            <family val="2"/>
          </rPr>
          <t xml:space="preserve">
Cada vez que la empresa este más apalancada financieramente va a destruir mayor valor para el inversionista.</t>
        </r>
      </text>
    </comment>
  </commentList>
</comments>
</file>

<file path=xl/comments12.xml><?xml version="1.0" encoding="utf-8"?>
<comments xmlns="http://schemas.openxmlformats.org/spreadsheetml/2006/main">
  <authors>
    <author>usuario1</author>
  </authors>
  <commentList>
    <comment ref="B3" authorId="0" shapeId="0">
      <text>
        <r>
          <rPr>
            <sz val="9"/>
            <color indexed="81"/>
            <rFont val="Tahoma"/>
            <family val="2"/>
          </rPr>
          <t>Estándar Internacional:
Al menos el 40% del EBITDA debe estar destinado a la amortización de capital de la deuda</t>
        </r>
      </text>
    </comment>
  </commentList>
</comments>
</file>

<file path=xl/comments2.xml><?xml version="1.0" encoding="utf-8"?>
<comments xmlns="http://schemas.openxmlformats.org/spreadsheetml/2006/main">
  <authors>
    <author>Helm Investment Advisors</author>
    <author>Windows User</author>
    <author>Jairo Humberto Sanchez</author>
  </authors>
  <commentList>
    <comment ref="H60" authorId="0" shapeId="0">
      <text>
        <r>
          <rPr>
            <sz val="8"/>
            <color indexed="81"/>
            <rFont val="Tahoma"/>
            <family val="2"/>
          </rPr>
          <t>Source: Capital IQ
Fecha de Consulta: Marzo de 2013</t>
        </r>
      </text>
    </comment>
    <comment ref="F71" authorId="1" shapeId="0">
      <text>
        <r>
          <rPr>
            <b/>
            <sz val="9"/>
            <color indexed="81"/>
            <rFont val="Tahoma"/>
            <family val="2"/>
          </rPr>
          <t>Bna*(1+(1-TAX%)*D/P)</t>
        </r>
        <r>
          <rPr>
            <sz val="9"/>
            <color indexed="81"/>
            <rFont val="Tahoma"/>
            <family val="2"/>
          </rPr>
          <t xml:space="preserve">
</t>
        </r>
      </text>
    </comment>
    <comment ref="F74" authorId="2" shapeId="0">
      <text>
        <r>
          <rPr>
            <b/>
            <sz val="8"/>
            <color indexed="81"/>
            <rFont val="Tahoma"/>
            <family val="2"/>
          </rPr>
          <t>Con cifras tomadas de Balances publicados en la Superintendencia de Sociedades</t>
        </r>
      </text>
    </comment>
  </commentList>
</comments>
</file>

<file path=xl/comments3.xml><?xml version="1.0" encoding="utf-8"?>
<comments xmlns="http://schemas.openxmlformats.org/spreadsheetml/2006/main">
  <authors>
    <author>Admin</author>
    <author>usuario1</author>
    <author>Universidad Jorge Tadeo Lozano</author>
  </authors>
  <commentList>
    <comment ref="O2" authorId="0" shapeId="0">
      <text>
        <r>
          <rPr>
            <b/>
            <sz val="8"/>
            <color indexed="81"/>
            <rFont val="Tahoma"/>
            <family val="2"/>
          </rPr>
          <t xml:space="preserve">Propiedad Planta y Equipo 2006
</t>
        </r>
      </text>
    </comment>
    <comment ref="O3" authorId="0" shapeId="0">
      <text>
        <r>
          <rPr>
            <b/>
            <sz val="8"/>
            <color indexed="81"/>
            <rFont val="Tahoma"/>
            <family val="2"/>
          </rPr>
          <t xml:space="preserve">Capital Neto Operativo 2006
</t>
        </r>
      </text>
    </comment>
    <comment ref="A5" authorId="1" shapeId="0">
      <text>
        <r>
          <rPr>
            <b/>
            <sz val="9"/>
            <color indexed="81"/>
            <rFont val="Tahoma"/>
            <family val="2"/>
          </rPr>
          <t>usuario1:</t>
        </r>
        <r>
          <rPr>
            <sz val="9"/>
            <color indexed="81"/>
            <rFont val="Tahoma"/>
            <family val="2"/>
          </rPr>
          <t xml:space="preserve">
A psera de no ser salidades de efectivo corresponden a el riesgo de salidas de activos que se supone constante por eso se deja en cero.</t>
        </r>
      </text>
    </comment>
    <comment ref="A16" authorId="2" shapeId="0">
      <text>
        <r>
          <rPr>
            <b/>
            <sz val="8"/>
            <color indexed="81"/>
            <rFont val="Tahoma"/>
            <family val="2"/>
          </rPr>
          <t>Presumimos que el 75% de los gastos NO Operacionales son intereses.</t>
        </r>
      </text>
    </comment>
  </commentList>
</comments>
</file>

<file path=xl/comments4.xml><?xml version="1.0" encoding="utf-8"?>
<comments xmlns="http://schemas.openxmlformats.org/spreadsheetml/2006/main">
  <authors>
    <author>usuario1</author>
  </authors>
  <commentList>
    <comment ref="A22" authorId="0" shapeId="0">
      <text>
        <r>
          <rPr>
            <b/>
            <sz val="9"/>
            <color indexed="81"/>
            <rFont val="Tahoma"/>
            <family val="2"/>
          </rPr>
          <t>usuario1:</t>
        </r>
        <r>
          <rPr>
            <sz val="9"/>
            <color indexed="81"/>
            <rFont val="Tahoma"/>
            <family val="2"/>
          </rPr>
          <t xml:space="preserve">
La empresa posee bajos niveles de líquidez dado que su alto nivel de inventarios está financiado con deuda bancaria, por tanto, en el corto plazo la empresa en caso de una liquidación no tendría con que cubrir su KW.</t>
        </r>
      </text>
    </comment>
    <comment ref="A23" authorId="0" shapeId="0">
      <text>
        <r>
          <rPr>
            <sz val="9"/>
            <color indexed="81"/>
            <rFont val="Tahoma"/>
            <family val="2"/>
          </rPr>
          <t>El patrimonio de los socios está por debajo del 30% lo que implica que la empresa está perdiendo valor de mercado.</t>
        </r>
      </text>
    </comment>
    <comment ref="A24" authorId="0" shapeId="0">
      <text>
        <r>
          <rPr>
            <b/>
            <sz val="9"/>
            <color indexed="81"/>
            <rFont val="Tahoma"/>
            <family val="2"/>
          </rPr>
          <t>usuario1:</t>
        </r>
        <r>
          <rPr>
            <sz val="9"/>
            <color indexed="81"/>
            <rFont val="Tahoma"/>
            <family val="2"/>
          </rPr>
          <t xml:space="preserve">
La compañía presenta un ROA operacional por encima de los estandares, ya que su proceso de producción lo realice vía maquila trasladando el riesgo del inventario de materia prima que es uno de los más importantes dentro de una empresa de este tipo.</t>
        </r>
      </text>
    </comment>
    <comment ref="A25" authorId="0" shapeId="0">
      <text>
        <r>
          <rPr>
            <b/>
            <sz val="9"/>
            <color indexed="81"/>
            <rFont val="Tahoma"/>
            <family val="2"/>
          </rPr>
          <t>usuario1:</t>
        </r>
        <r>
          <rPr>
            <sz val="9"/>
            <color indexed="81"/>
            <rFont val="Tahoma"/>
            <family val="2"/>
          </rPr>
          <t xml:space="preserve">
La rentabilidad sonbre las ventas está por debajo de los estandares, dado que el gasto financiero es supremamente alto y la utilidad operacional no alcanza a cubrirlo, por ende tienen que estar haciendo roll over en sus obligaciones financieras </t>
        </r>
      </text>
    </comment>
    <comment ref="A26" authorId="0" shapeId="0">
      <text>
        <r>
          <rPr>
            <b/>
            <sz val="9"/>
            <color indexed="81"/>
            <rFont val="Tahoma"/>
            <family val="2"/>
          </rPr>
          <t>usuario1:</t>
        </r>
        <r>
          <rPr>
            <sz val="9"/>
            <color indexed="81"/>
            <rFont val="Tahoma"/>
            <family val="2"/>
          </rPr>
          <t xml:space="preserve">
El ROE de la compañía muestra que la empresa está en disminución patrimonial y esa situación podría general en el futuro una entrada en causal de disolución. Se observa que manejan las utilidades del período con ingresos no operacionales con el objetivo de hacer presentación financiera ante los bancos. Es relevante mencionar la posible negligencia de las entidades financieras al seguir prestandoles y no exigir covenanst (indicadores de cubrimiento financiero) que sean aplicables a los págares. Pueden estar inmersos en los págares o se hace un contrato entre los bancos y la compañía que preste merito ejecutivo, es decir, si la empresa no cumple los estandares de los indicadores se aplica clausula asceleratoria, en el lenguaje financiero es llamado deuda subordinada</t>
        </r>
      </text>
    </comment>
    <comment ref="A27" authorId="0" shapeId="0">
      <text>
        <r>
          <rPr>
            <b/>
            <sz val="9"/>
            <color indexed="81"/>
            <rFont val="Tahoma"/>
            <family val="2"/>
          </rPr>
          <t>usuario1:</t>
        </r>
        <r>
          <rPr>
            <sz val="9"/>
            <color indexed="81"/>
            <rFont val="Tahoma"/>
            <family val="2"/>
          </rPr>
          <t xml:space="preserve">
Está por encima del estandar internacional, lo que manifiesta:
-Debe reducir los niveles de deuda en 57 MM. Según los estandares internacionales cuando una compañía supera el 55%, la probabilidad de entrar en defaul esta en un período entre dos y cuatro años</t>
        </r>
      </text>
    </comment>
  </commentList>
</comments>
</file>

<file path=xl/comments5.xml><?xml version="1.0" encoding="utf-8"?>
<comments xmlns="http://schemas.openxmlformats.org/spreadsheetml/2006/main">
  <authors>
    <author>usuario1</author>
  </authors>
  <commentList>
    <comment ref="B11" authorId="0" shapeId="0">
      <text>
        <r>
          <rPr>
            <b/>
            <sz val="9"/>
            <color indexed="81"/>
            <rFont val="Tahoma"/>
            <family val="2"/>
          </rPr>
          <t>usuario1:</t>
        </r>
        <r>
          <rPr>
            <sz val="9"/>
            <color indexed="81"/>
            <rFont val="Tahoma"/>
            <family val="2"/>
          </rPr>
          <t xml:space="preserve">
La compañía ha venido disminuyendo su estructura patrimonial y sus niveles de deuda en el largo plazo. En comparación con su estructura de inversión lo que nos lleva a concluir:
Estan mal financiados y el gerente financiero no es el adecuado.</t>
        </r>
      </text>
    </comment>
    <comment ref="B13" authorId="0" shapeId="0">
      <text>
        <r>
          <rPr>
            <b/>
            <sz val="9"/>
            <color indexed="81"/>
            <rFont val="Tahoma"/>
            <family val="2"/>
          </rPr>
          <t>usuario1:</t>
        </r>
        <r>
          <rPr>
            <sz val="9"/>
            <color indexed="81"/>
            <rFont val="Tahoma"/>
            <family val="2"/>
          </rPr>
          <t xml:space="preserve">
El gasto financiero pasó de representar el en 2016 frente a las ventas el 8% al 27,7% en el 2014, es decir se esta comiendo el EBITDA.</t>
        </r>
      </text>
    </comment>
  </commentList>
</comments>
</file>

<file path=xl/comments6.xml><?xml version="1.0" encoding="utf-8"?>
<comments xmlns="http://schemas.openxmlformats.org/spreadsheetml/2006/main">
  <authors>
    <author>Home</author>
  </authors>
  <commentList>
    <comment ref="K68" authorId="0" shapeId="0">
      <text>
        <r>
          <rPr>
            <sz val="9"/>
            <color indexed="81"/>
            <rFont val="Tahoma"/>
            <family val="2"/>
          </rPr>
          <t>FONDOS REQUERIDOS
PARA CRECER EL PORCENTAJE REQUERIDO.</t>
        </r>
      </text>
    </comment>
  </commentList>
</comments>
</file>

<file path=xl/comments7.xml><?xml version="1.0" encoding="utf-8"?>
<comments xmlns="http://schemas.openxmlformats.org/spreadsheetml/2006/main">
  <authors>
    <author>usuario1</author>
  </authors>
  <commentList>
    <comment ref="B37" authorId="0" shapeId="0">
      <text>
        <r>
          <rPr>
            <b/>
            <sz val="9"/>
            <color indexed="81"/>
            <rFont val="Tahoma"/>
            <family val="2"/>
          </rPr>
          <t>usuario1:</t>
        </r>
        <r>
          <rPr>
            <sz val="9"/>
            <color indexed="81"/>
            <rFont val="Tahoma"/>
            <family val="2"/>
          </rPr>
          <t xml:space="preserve">
LA COMPAÑÍA HA GENERADO FLUJO DE CAJA LIBRE ESTE FLUJO DE FONDOS ME PERMITE ESTABLECER Y CORROBORAR QUE USARON Y COMO SE FONDEARON , NOS MUESTRA QUE LA ACTIVIDAD NO OPERACIONAL ES BASTANTE RELEVANTE: PUEDE GENERAR SOSPECHAS ANTES LOS BANCOS POR TEMA DE LAVADO DE ACTIVOS</t>
        </r>
      </text>
    </comment>
  </commentList>
</comments>
</file>

<file path=xl/comments8.xml><?xml version="1.0" encoding="utf-8"?>
<comments xmlns="http://schemas.openxmlformats.org/spreadsheetml/2006/main">
  <authors>
    <author>Familia Rojas</author>
  </authors>
  <commentList>
    <comment ref="B25" authorId="0" shapeId="0">
      <text>
        <r>
          <rPr>
            <sz val="9"/>
            <color indexed="81"/>
            <rFont val="Tahoma"/>
            <family val="2"/>
          </rPr>
          <t xml:space="preserve">Si el flujo operacional es mayor a $ 36.000, se calculara el porcentaje para capex
</t>
        </r>
      </text>
    </comment>
  </commentList>
</comments>
</file>

<file path=xl/comments9.xml><?xml version="1.0" encoding="utf-8"?>
<comments xmlns="http://schemas.openxmlformats.org/spreadsheetml/2006/main">
  <authors>
    <author>usuario1</author>
  </authors>
  <commentList>
    <comment ref="B29" authorId="0" shapeId="0">
      <text>
        <r>
          <rPr>
            <b/>
            <sz val="9"/>
            <color indexed="81"/>
            <rFont val="Tahoma"/>
            <family val="2"/>
          </rPr>
          <t>usuario1:</t>
        </r>
        <r>
          <rPr>
            <sz val="9"/>
            <color indexed="81"/>
            <rFont val="Tahoma"/>
            <family val="2"/>
          </rPr>
          <t xml:space="preserve">
ESTE ES ELCOSTO ANUAL</t>
        </r>
      </text>
    </comment>
  </commentList>
</comments>
</file>

<file path=xl/sharedStrings.xml><?xml version="1.0" encoding="utf-8"?>
<sst xmlns="http://schemas.openxmlformats.org/spreadsheetml/2006/main" count="2581" uniqueCount="1458">
  <si>
    <t>Sector</t>
  </si>
  <si>
    <t>DINAMICA</t>
  </si>
  <si>
    <t>RENTABILIDAD</t>
  </si>
  <si>
    <t>ENDEUDAMIENTO</t>
  </si>
  <si>
    <t xml:space="preserve">Cobertura de intereses </t>
  </si>
  <si>
    <t>EBITDA</t>
  </si>
  <si>
    <t>EFICIENCIA</t>
  </si>
  <si>
    <t>LIQUIDEZ</t>
  </si>
  <si>
    <t xml:space="preserve">Generacion de recursos </t>
  </si>
  <si>
    <t>Altman Z-Score</t>
  </si>
  <si>
    <t>Cifras en Millones (COP)</t>
  </si>
  <si>
    <t xml:space="preserve">Cuenta de Resultados </t>
  </si>
  <si>
    <t>Ventas</t>
  </si>
  <si>
    <t>CMV</t>
  </si>
  <si>
    <t>EBIT o BAIT</t>
  </si>
  <si>
    <t xml:space="preserve">Ratios de cuenta de resultados </t>
  </si>
  <si>
    <t xml:space="preserve">Crecimiento de ventas </t>
  </si>
  <si>
    <t>Margen bruto/Ventas</t>
  </si>
  <si>
    <t>EBITDA/ventas</t>
  </si>
  <si>
    <t>RN Rentabilidad Neta</t>
  </si>
  <si>
    <t>Beneficio neto/Ventas</t>
  </si>
  <si>
    <t>ROE, retabilidad recursos propios</t>
  </si>
  <si>
    <t xml:space="preserve">ROA, rentabilidad activo </t>
  </si>
  <si>
    <t>EBIT/activo neto</t>
  </si>
  <si>
    <t xml:space="preserve">Activo </t>
  </si>
  <si>
    <t>Inventario</t>
  </si>
  <si>
    <t>Activo Corriente, AC</t>
  </si>
  <si>
    <t>Activo fijo neto, AF</t>
  </si>
  <si>
    <t xml:space="preserve">Activo total </t>
  </si>
  <si>
    <t xml:space="preserve">Pasivo </t>
  </si>
  <si>
    <t xml:space="preserve">Proveedores </t>
  </si>
  <si>
    <t>Obligaciones financieras CP</t>
  </si>
  <si>
    <t>Pasivo Corriente</t>
  </si>
  <si>
    <t>Recursos propios o Capital</t>
  </si>
  <si>
    <t xml:space="preserve">Beneficio del año o Utilidad del ejercicio </t>
  </si>
  <si>
    <t xml:space="preserve">Ratios del balance </t>
  </si>
  <si>
    <t xml:space="preserve">Dias de cobro </t>
  </si>
  <si>
    <t>Dias de inventario</t>
  </si>
  <si>
    <t xml:space="preserve">Dias de pago </t>
  </si>
  <si>
    <t>ANALISIS CAPITAL DE TRABAJO</t>
  </si>
  <si>
    <t>2007</t>
  </si>
  <si>
    <t>2008</t>
  </si>
  <si>
    <t>2009</t>
  </si>
  <si>
    <t>2010</t>
  </si>
  <si>
    <t xml:space="preserve">VENTAS DIARIAS </t>
  </si>
  <si>
    <t>CVM</t>
  </si>
  <si>
    <t>CVM Diario</t>
  </si>
  <si>
    <t xml:space="preserve">Inventario inicial </t>
  </si>
  <si>
    <t xml:space="preserve">Compras </t>
  </si>
  <si>
    <t xml:space="preserve">Inventario final </t>
  </si>
  <si>
    <t>Costo de ventas</t>
  </si>
  <si>
    <t>CAJA (Dias)</t>
  </si>
  <si>
    <t>promedio</t>
  </si>
  <si>
    <t xml:space="preserve">ANALISIS DUPONT </t>
  </si>
  <si>
    <t>UODI</t>
  </si>
  <si>
    <t>(1+ D/P)</t>
  </si>
  <si>
    <t>ROE</t>
  </si>
  <si>
    <t xml:space="preserve">Rotacion de Activos Operacionales </t>
  </si>
  <si>
    <t xml:space="preserve">Rotacion de Activos Fijos </t>
  </si>
  <si>
    <t xml:space="preserve">Sector </t>
  </si>
  <si>
    <t xml:space="preserve">Compras diarias </t>
  </si>
  <si>
    <t xml:space="preserve">Promedio </t>
  </si>
  <si>
    <t>IMPORENTA</t>
  </si>
  <si>
    <t>TOTAL PASIVO</t>
  </si>
  <si>
    <t xml:space="preserve">Total Activo Operacional </t>
  </si>
  <si>
    <t>Utilidad Operacional</t>
  </si>
  <si>
    <t xml:space="preserve">Ventas </t>
  </si>
  <si>
    <t>Costo de venta</t>
  </si>
  <si>
    <t>Utilidad Bruta</t>
  </si>
  <si>
    <t>Gastos de Administracion</t>
  </si>
  <si>
    <t>Gastos de Ventas</t>
  </si>
  <si>
    <t>No Operacionales</t>
  </si>
  <si>
    <t>Total Ingresos No Operacionales</t>
  </si>
  <si>
    <t>Total Gastos No Operacionales</t>
  </si>
  <si>
    <t>Correccion Monetaria</t>
  </si>
  <si>
    <t>Utilidad Antes de Impuestos</t>
  </si>
  <si>
    <t>Impuestos y Otros</t>
  </si>
  <si>
    <t>Impuesto de Renta</t>
  </si>
  <si>
    <t>UTILIDAD NETA</t>
  </si>
  <si>
    <t>Utilidad Neta</t>
  </si>
  <si>
    <t xml:space="preserve">Activos Fijos </t>
  </si>
  <si>
    <t xml:space="preserve">Patrimonio </t>
  </si>
  <si>
    <t xml:space="preserve">Capital de Trabajo Neto Operativo </t>
  </si>
  <si>
    <t xml:space="preserve">Deuda </t>
  </si>
  <si>
    <t>Cuentas por pagar CP</t>
  </si>
  <si>
    <t xml:space="preserve">Inventarios </t>
  </si>
  <si>
    <t>Disponible</t>
  </si>
  <si>
    <t>INGRESOS OP</t>
  </si>
  <si>
    <t>ACTIVOS OPER</t>
  </si>
  <si>
    <t>DEUDA</t>
  </si>
  <si>
    <t>PATRIMONIO</t>
  </si>
  <si>
    <t xml:space="preserve">Rentabilidad Operacional </t>
  </si>
  <si>
    <t xml:space="preserve">Rotacion de Activos </t>
  </si>
  <si>
    <t>Apalancamiento</t>
  </si>
  <si>
    <t>X2= Utilidad retenida + reservas+ejercicio/ Total activos</t>
  </si>
  <si>
    <t>X4= Patrimonio / pasivo total</t>
  </si>
  <si>
    <t>Z SCORE</t>
  </si>
  <si>
    <t>SITUACION</t>
  </si>
  <si>
    <t>*FENAO:  Flujo de Efectivo Neto generado en Actividades de Operación</t>
  </si>
  <si>
    <t>FCL</t>
  </si>
  <si>
    <t>EBIT</t>
  </si>
  <si>
    <t>Depreciaciones</t>
  </si>
  <si>
    <t>Amortizaciones</t>
  </si>
  <si>
    <t>Provisiones</t>
  </si>
  <si>
    <t>FC Operativo</t>
  </si>
  <si>
    <t>CAPEX</t>
  </si>
  <si>
    <t>OPEX</t>
  </si>
  <si>
    <t>Amortiza Neta K</t>
  </si>
  <si>
    <t>FCL Accionistas</t>
  </si>
  <si>
    <t xml:space="preserve">Cifras en Millones de pesos </t>
  </si>
  <si>
    <t xml:space="preserve">1105 CAJA </t>
  </si>
  <si>
    <t xml:space="preserve">1110 BANCOS </t>
  </si>
  <si>
    <t xml:space="preserve">1120 CUENTAS DE AHORRO </t>
  </si>
  <si>
    <t xml:space="preserve">1125 FONDOS </t>
  </si>
  <si>
    <t>11 SUBTOTAL DISPONIBLE</t>
  </si>
  <si>
    <t>12 INVERSIONES (ANEXO 7)</t>
  </si>
  <si>
    <t>1305 CLIENTES  (ANEXO 8)</t>
  </si>
  <si>
    <t>1310 CUENTAS CORRIENTES COMERCIALES (CP)</t>
  </si>
  <si>
    <t>1315 CUENTAS POR COBRAR A CASA MATRIZ (CP)</t>
  </si>
  <si>
    <t>1320 CUENTAS POR COBRAR A VINCULADOS ECONÓMICOS (CP)</t>
  </si>
  <si>
    <t>1323 CUENTAS POR COBRAR A DIRECTORES (CP)</t>
  </si>
  <si>
    <t>1325 CUENTAS POR COBRAR A SOCIOS Y ACCIONISTAS (CP)</t>
  </si>
  <si>
    <t>1328 APORTES POR COBRAR (CP)</t>
  </si>
  <si>
    <t>1330 ANTICIPOS Y AVANCES (CP)</t>
  </si>
  <si>
    <t>1332 CUENTAS DE OPERACIÓN CONJUNTA (CP)</t>
  </si>
  <si>
    <t>1335 DEPÓSITOS (CP)</t>
  </si>
  <si>
    <t>1340 PROMESAS DE COMPRAVENTA (CP)</t>
  </si>
  <si>
    <t>1345 INGRESOS POR COBRAR (CP)</t>
  </si>
  <si>
    <t>1350 RETENCIÓN SOBRE CONTRATOS (CP)</t>
  </si>
  <si>
    <t>1355 ANTICIPO DE IMPTOS. Y CONTRIB.O SALDOS A FAVOR (CP)</t>
  </si>
  <si>
    <t>1360 RECLAMACIONES (CP)</t>
  </si>
  <si>
    <t>1365 CUENTAS POR COBRAR A TRABAJADORES (CP)</t>
  </si>
  <si>
    <t>1370 PRESTAMOS A PARTICULARES (CP)</t>
  </si>
  <si>
    <t>1380 DEUDORES VARIOS (CP)</t>
  </si>
  <si>
    <t>1385 DERECHOS DE RECOMP. DE CART. NEGOCIADA (CP)</t>
  </si>
  <si>
    <t>1390 DEUDAS DE DIFÍCIL COBRO (CP)</t>
  </si>
  <si>
    <t>1399 PROVISIONES  (CP)</t>
  </si>
  <si>
    <t>13 SUBTOTAL DEUDORES (CP)</t>
  </si>
  <si>
    <t>1405 MATERIAS PRIMAS (ANEXO 2,17)</t>
  </si>
  <si>
    <t>1410 PRODUCTOS EN PROCESO (ANEXO 2)</t>
  </si>
  <si>
    <t>1420 CONTRATOS EN EJECUCIÓN (CP)</t>
  </si>
  <si>
    <t>1425 CULTIVOS EN DESARROLLO (CP)</t>
  </si>
  <si>
    <t>1428 PLANTACIONES AGRÍCOLAS (CP)</t>
  </si>
  <si>
    <t>1445 SEMOVIENTES (CP)</t>
  </si>
  <si>
    <t>1455 MATERIALES, REPUESTOS Y ACCESORIOS (CP)</t>
  </si>
  <si>
    <t>1460 ENVASES Y EMPAQUES (CP)</t>
  </si>
  <si>
    <t>1465 INVENTARIOS EN TRÁNSITO (CP)</t>
  </si>
  <si>
    <t>1499 PROVISIONES (CP)</t>
  </si>
  <si>
    <t>14 SUBTOTAL INVENTARIOS  (CP)</t>
  </si>
  <si>
    <t>1705 GASTOS PAGADOS POR ANTICIPADO (CP)</t>
  </si>
  <si>
    <t>1710 CARGOS DIFERIDOS (CP)</t>
  </si>
  <si>
    <t>1715 COSTOS DE EXPLORACIÓN POR AMORTIZAR (CP)</t>
  </si>
  <si>
    <t>1720 COSTOS DE EXPLOTACIÓN Y DESARROLLO (CP)</t>
  </si>
  <si>
    <t>1730 CARGOS POR CORRECCIÓN MONETARIA DIFERIDA (CP)</t>
  </si>
  <si>
    <t>1798 AMORTIZACIÓN ACUMULADA (CP)</t>
  </si>
  <si>
    <t>17 SUBTOTAL DIFERIDO (CP)</t>
  </si>
  <si>
    <t xml:space="preserve">TOTAL ACTIVO CORRIENTE  </t>
  </si>
  <si>
    <t>INVERSIONES (Anexo 7)</t>
  </si>
  <si>
    <t xml:space="preserve">13 SUBTOTAL  DEUDORES A LARGO PLAZO </t>
  </si>
  <si>
    <t xml:space="preserve">15 PROPIEDADES PLANTA Y EQUIPO(ANEXO 9) </t>
  </si>
  <si>
    <t>1698 AMORTIZACIÓN ACUMULADA</t>
  </si>
  <si>
    <t xml:space="preserve">17 SUBTOTAL  DIFERIDOS </t>
  </si>
  <si>
    <t xml:space="preserve">TOTAL ACTIVO NO CORRIENTE </t>
  </si>
  <si>
    <t xml:space="preserve">TOTAL ACTIVO  </t>
  </si>
  <si>
    <t>21 OBLIGACIONES FINANCIERAS (ANEXO10) (CP)</t>
  </si>
  <si>
    <t>22 PROVEEDORES (ANEXO 10)  (CP)</t>
  </si>
  <si>
    <t>2305 CUENTAS CORRIENTES COMERCIALES (CP)</t>
  </si>
  <si>
    <t>2310 A CASA MATRIZ (CP)</t>
  </si>
  <si>
    <t>2315 A COMPAÑÍAS VINCULADAS (CP)</t>
  </si>
  <si>
    <t>2320 A CONTRATISTAS (CP)</t>
  </si>
  <si>
    <t>2330 ORDENES DE COMPRA POR UTILIZAR (CP)</t>
  </si>
  <si>
    <t>2335 COSTOS Y GASTOS POR PAGAR (CP)</t>
  </si>
  <si>
    <t>2340 INSTALAMENTOS POR PAGAR (CP)</t>
  </si>
  <si>
    <t>2345 ACREEDORES OFICIALES (CP)</t>
  </si>
  <si>
    <t>2350 REGALÍAS POR PAGAR (CP)</t>
  </si>
  <si>
    <t>2355 DEUDAS CON ACCIONISTAS O SOCIOS (CP)</t>
  </si>
  <si>
    <t>2357 DEUDAS CON DIRECTORES (CP)</t>
  </si>
  <si>
    <t>2360 DIVIDENDOS O PARTICIPACIONES POR PAGAR (CP)</t>
  </si>
  <si>
    <t>2365 RETENCIÓN EN LA FUENTE (CP)</t>
  </si>
  <si>
    <t>2367 IMPUESTO A LAS VENTAS RETENIDO (CP)</t>
  </si>
  <si>
    <t>2368 IMPUESTO DE INDUSTRIA Y COMERCIO RETENIDO (CP)</t>
  </si>
  <si>
    <t>2370 RETENCIONES Y APORTES DE NÓMINA (CP)</t>
  </si>
  <si>
    <t>23 SUBTOTAL CUENTAS POR PAGAR (CP)</t>
  </si>
  <si>
    <t>24 IMPUESTOS GRAVÁMENES Y TASAS (CP)</t>
  </si>
  <si>
    <t>25 OBLIGACIONES LABORALES (CP)</t>
  </si>
  <si>
    <t>2605 PARA COSTOS Y GASTOS (CP)</t>
  </si>
  <si>
    <t>2610 PARA OBLIGACIONES LABORALES (CP)</t>
  </si>
  <si>
    <t>2615 PARA OBLIGACIONES FISCALES (CP)</t>
  </si>
  <si>
    <t>2625 PARA OBRAS DE URBANISMO (CP)</t>
  </si>
  <si>
    <t>2630 PARA MANTENIMIENTO Y REPARACIONES (CP)</t>
  </si>
  <si>
    <t>2635 PARA CONTINGENCIAS (CP)</t>
  </si>
  <si>
    <t>2640 PARA OBLIGACIONES DE GARANTÍAS (CP)</t>
  </si>
  <si>
    <t>26 SUBTOTAL PASIVOS ESTIMAD. Y PROVIS. (CP)</t>
  </si>
  <si>
    <t>27 DIFERIDOS (CP)</t>
  </si>
  <si>
    <t>2805 ANTICIPOS Y AVANCES RECIBIDOS (CP)</t>
  </si>
  <si>
    <t>2810 DEPÓSITOS RECIBIDOS (CP)</t>
  </si>
  <si>
    <t>2815 INGRESOS RECIBIDOS PARA TERCEROS (CP)</t>
  </si>
  <si>
    <t>2820 CUENTAS DE OPERACIÓN CONJUNTA (CP)</t>
  </si>
  <si>
    <t>2825 RETENCIONES A TERCEROS SOBRE CONTRATOSV</t>
  </si>
  <si>
    <t>2830 EMBARGOS JUDICIALES (CP)</t>
  </si>
  <si>
    <t>2840 CUENTAS EN PARTICIPACIÓN (CP)</t>
  </si>
  <si>
    <t>2895 DIVERSOS (CP)</t>
  </si>
  <si>
    <t>2905 BONOS EN CIRCULACIÓN (CP)</t>
  </si>
  <si>
    <t>2910 BONOS OBLIGATOR. CONVERTIBLES EN ACCIONES (CP)</t>
  </si>
  <si>
    <t>2915 PAPELES COMERCIALES (CP)</t>
  </si>
  <si>
    <t>29 SUBTOTAL BONOS Y PAPELES COMERCIA. (CP)</t>
  </si>
  <si>
    <t xml:space="preserve">TOTAL PASIVO CORRIENTE </t>
  </si>
  <si>
    <t>22 PROVEEDORES (ANEXO 10) (LP)</t>
  </si>
  <si>
    <t>24 IMPUESTOS GRAVÁMENES Y TASAS (LP)</t>
  </si>
  <si>
    <t xml:space="preserve">TOTAL PASIVO NO CORRIENTE </t>
  </si>
  <si>
    <t xml:space="preserve">31 SUBTOTAL  CAPITAL SOCIAL </t>
  </si>
  <si>
    <t xml:space="preserve">33 RESERVAS (ANEXO 11)  </t>
  </si>
  <si>
    <t xml:space="preserve">34 REVALORIZACIÓN DEL PATRIMONIO  </t>
  </si>
  <si>
    <t xml:space="preserve">36 RESULTADOS DEL EJERCICIO </t>
  </si>
  <si>
    <t>3705 UTILIDADES ACUMULADAS</t>
  </si>
  <si>
    <t>3710 PERDIDAS ACUMULADAS</t>
  </si>
  <si>
    <t>TOTAL PATRIMONIO</t>
  </si>
  <si>
    <t>TOTAL PASIVO Y PATRIMONIO</t>
  </si>
  <si>
    <t>UTILIDAD DEL PERIODO (ESTADO DE RESULTADOS)</t>
  </si>
  <si>
    <t>PARTIDAS QUE NO AFECTAN EL EFECTIVO</t>
  </si>
  <si>
    <t>(+) DEPRECIACIONES (ANEXO 3)</t>
  </si>
  <si>
    <t>(+) AMORTIZACIONES (ANEXO 3)</t>
  </si>
  <si>
    <t>(+) PROVISIONES (ANEXO 3)</t>
  </si>
  <si>
    <t>(+) AMORTIZACIONES CALCULO ACTUARIAL BONOS Y TITULOS PENSIONALES (ANEXO4)</t>
  </si>
  <si>
    <t>(-) UTILIDAD EN METODO DE PARTICIPACION</t>
  </si>
  <si>
    <t>(-) UTILIDAD EN VENTA DE INVERSIONES (ANEXO 5)</t>
  </si>
  <si>
    <t>(-) UTILIDAD EN VTA PROPIEDADES Y EQUIPO Y/O OTROS BIENES (ANEXO 5)</t>
  </si>
  <si>
    <t>(-) RECUPERACIONES</t>
  </si>
  <si>
    <t>(+) PÉRDIDA EN VENTA O RETIRO DE BIENES (ANEXO5)</t>
  </si>
  <si>
    <t>(+) PÉRDIDA EN METODO DE PARTICIPACION (ANEXO 5)</t>
  </si>
  <si>
    <t>CORRECCIÓN MONETARIA (4705 ANEXO 13)</t>
  </si>
  <si>
    <t>(-) INVERSIONES</t>
  </si>
  <si>
    <t>(-) INVENTARIOS</t>
  </si>
  <si>
    <t>(-) PROPIEDAD PLANTA Y EQUIPO</t>
  </si>
  <si>
    <t>(-) INTANGIBLES</t>
  </si>
  <si>
    <t>(-) ACTIVOS DIFERIDOS</t>
  </si>
  <si>
    <t>(-) OTROS ACTIVOS</t>
  </si>
  <si>
    <t>(+) PASIVOS SUJETOS A AJUSTES</t>
  </si>
  <si>
    <t>(+ O -) PATRIMONIO</t>
  </si>
  <si>
    <t>(+) DEPRECIACION ACUMULADA</t>
  </si>
  <si>
    <t>(-) DEPRECIACION DIFERIDA</t>
  </si>
  <si>
    <t>(+) AGOTAMIENTO ACUMULADO</t>
  </si>
  <si>
    <t>(+) AMORTIZACION ACUMULADA</t>
  </si>
  <si>
    <t>(+) PROVISION IMPUESTO DE RENTA Y COMPLEMENTARIOS (EST. RESULTADOS)</t>
  </si>
  <si>
    <t>SUBTOTAL</t>
  </si>
  <si>
    <t>(+ O -) DIFERENCIA EN CAMBIO</t>
  </si>
  <si>
    <t>(+ O -) ERRORES DE EJERCICIOS ANTERIORES</t>
  </si>
  <si>
    <t>EFECTIVO GENERADO EN OPERACIÓN</t>
  </si>
  <si>
    <t>CAMBIOS EN ACTIVOS Y PASIVOS OPERACIONALES</t>
  </si>
  <si>
    <t>(+) DISMINUCION DEUDORES</t>
  </si>
  <si>
    <t>(+) DISMINUCION INVENTARIOS</t>
  </si>
  <si>
    <t>(+) DISMINUCION ACTIVOS DIFERIDOS</t>
  </si>
  <si>
    <t>(+) AUMENTO PROVEEDORES</t>
  </si>
  <si>
    <t>(+) AUMENTO CUENTAS POR PAGAR</t>
  </si>
  <si>
    <t>(+) AUMENTO IMPUESTOS GRAVAMENES Y TASAS</t>
  </si>
  <si>
    <t>(+) AUMENTO OBLIGACIONES LABORALES</t>
  </si>
  <si>
    <t>(+) AUMENTO PASIVOS ESTIMADOS Y PROVISIONES</t>
  </si>
  <si>
    <t>(+) AUMENTO PASIVOS DIFERIDOS</t>
  </si>
  <si>
    <t>(+) AUMENTO OTROS PASIVOS</t>
  </si>
  <si>
    <t>(-) AUMENTO DEUDORES</t>
  </si>
  <si>
    <t>(-) AUMENTO INVENTARIOS</t>
  </si>
  <si>
    <t>(-) AUMENTO ACTIVOS DIFERIDOS</t>
  </si>
  <si>
    <t>(-) DISMINUCION PROVEEDORES</t>
  </si>
  <si>
    <t>(-) DISMINUCION CUENTAS POR PAGAR</t>
  </si>
  <si>
    <t>(-) DISMINUCION IMPUESTOS GRAVAMENES Y TASAS</t>
  </si>
  <si>
    <t>(-) DISMINUCION OBLIGACIONES LABORALES</t>
  </si>
  <si>
    <t>(-) DISMINUCION PASIVOS ESTIMADOS Y PROVISIONES</t>
  </si>
  <si>
    <t>(-) DISMINUCION PASIVOS DIFERIDOS</t>
  </si>
  <si>
    <t>(-) DISMINUCION OTROS PASIVOS</t>
  </si>
  <si>
    <t>FLUJO DE EFECTIVO NETO EN ACTIVIDADES DE OPERACIÓN</t>
  </si>
  <si>
    <t>ACTIVIDADES DE INVERSION</t>
  </si>
  <si>
    <t>(-) COMPRA INVERSIONES TEMPORALES</t>
  </si>
  <si>
    <t>(-) COMPRA INVERSIONES PERMANENTES</t>
  </si>
  <si>
    <t>(-) COMPRA PROPIEDAD PLANTA Y EQUIPO</t>
  </si>
  <si>
    <t>(-) AUMENTO INTANGIBLES</t>
  </si>
  <si>
    <t>(-) AUMENTO OTROS ACTIVOS</t>
  </si>
  <si>
    <t>(+) VENTA INVERSIONES TEMPORALES</t>
  </si>
  <si>
    <t>(+) VENTA INVERSIONES PERMANENTES</t>
  </si>
  <si>
    <t>(+) VENTA PROPIEDADES PLANTA Y EQUIPO</t>
  </si>
  <si>
    <t>(+) DISMINUCION INTANGIBLES</t>
  </si>
  <si>
    <t>(+) DISMINUCION OTROS ACTIVOS</t>
  </si>
  <si>
    <t>FLUJO DE EFECTIVO NETO EN ACTIVIDADES DE INVERSION</t>
  </si>
  <si>
    <t>ACTIVIDADES DE FINANCIACION</t>
  </si>
  <si>
    <t>(+) NUEVAS OBLIGACIONES FINANCIERA</t>
  </si>
  <si>
    <t>(+) NUEVAS OBLIGACIONES FINANCIERAS A LARGO PLAZO</t>
  </si>
  <si>
    <t>(+) AUMENTO BONOS Y PAPELES COMERCIALES</t>
  </si>
  <si>
    <t>(+) AUMENTO CAPITAL SOCIAL</t>
  </si>
  <si>
    <t>(+) AUMENTO SUPERAVIT DE CAPITAL</t>
  </si>
  <si>
    <t>(-) PAGO DE OBLIGACIONES FINANCIERAS</t>
  </si>
  <si>
    <t>(-) PAGO DE OBLIGACIONES FINANCIERAS A LARGO PLAZO</t>
  </si>
  <si>
    <t>(-) DISMINUCION BONOS Y PAPELES COMERCIALES</t>
  </si>
  <si>
    <t>(-) DISMINUCION CAPITAL SOCIAL</t>
  </si>
  <si>
    <t>(-) DISMINUCION SUPERAVIT DE CAPITAL</t>
  </si>
  <si>
    <t>(-) PAGO DE UTILIDADES (DIVIDEN. PARTICIP. GIRO</t>
  </si>
  <si>
    <t>FLUJO DE EFECTIVO NETO EN ACTIVIDADES FINANCIERAS</t>
  </si>
  <si>
    <t>TOTAL - AUMENTO (DISMINUCION) DEL EFECTIVO</t>
  </si>
  <si>
    <t>EFECTIVO AÑO ANTERIOR</t>
  </si>
  <si>
    <t>EFECTIVO PRESENTE AÑO</t>
  </si>
  <si>
    <t xml:space="preserve">Utilidad Bruta </t>
  </si>
  <si>
    <t xml:space="preserve">Gastos Operacionales </t>
  </si>
  <si>
    <t xml:space="preserve">Acivos Fijos </t>
  </si>
  <si>
    <t>Inventarios</t>
  </si>
  <si>
    <t>Cartera</t>
  </si>
  <si>
    <t>Cuentas por Pagar</t>
  </si>
  <si>
    <t>Impuestos por pagar</t>
  </si>
  <si>
    <t>Obligaciones Laborales CP</t>
  </si>
  <si>
    <t>Utillidad Neta</t>
  </si>
  <si>
    <t xml:space="preserve">Baja probabilidad de insolvencia </t>
  </si>
  <si>
    <t xml:space="preserve">Alta probabilidad de insolvencia </t>
  </si>
  <si>
    <t xml:space="preserve">Zona gris </t>
  </si>
  <si>
    <t>Zona Gris</t>
  </si>
  <si>
    <t xml:space="preserve">Poca probabilidad de insolvencia </t>
  </si>
  <si>
    <t>Analizado a partir de http://www.byington.net/estandares/index.php?accion=guia</t>
  </si>
  <si>
    <t>Total Pasivo y Patrimonio</t>
  </si>
  <si>
    <t>Total PASIVO y PATRIMONIO</t>
  </si>
  <si>
    <t>Total Patrimonio Neto</t>
  </si>
  <si>
    <t>Utilidades Retenidas</t>
  </si>
  <si>
    <t>Utilidades del Ejercicio</t>
  </si>
  <si>
    <t>Revalorizacion del Patrimonio</t>
  </si>
  <si>
    <t>Reservas de Capital</t>
  </si>
  <si>
    <t>Superavit de Valorizaciones</t>
  </si>
  <si>
    <t>Superavit de Capital</t>
  </si>
  <si>
    <t>Capital</t>
  </si>
  <si>
    <t>Acciones Preferenciales</t>
  </si>
  <si>
    <t>Patrimonio</t>
  </si>
  <si>
    <t>Total PASIVO</t>
  </si>
  <si>
    <t>Pasivo Largo Plazo</t>
  </si>
  <si>
    <t>Otros Pasivos LP</t>
  </si>
  <si>
    <t>Diferidos LP</t>
  </si>
  <si>
    <t>Estimados y Provisiones LP</t>
  </si>
  <si>
    <t>Obligaciones Laborales LP</t>
  </si>
  <si>
    <t>Cuentas por Pagar LP</t>
  </si>
  <si>
    <t>Proveedores L.P.</t>
  </si>
  <si>
    <t>Bonos y Papeles Comerciales (LP)</t>
  </si>
  <si>
    <t>Obligaciones Financieras (LP)</t>
  </si>
  <si>
    <t>Pasivo a Largo Plazo</t>
  </si>
  <si>
    <t>Total Pasivo Corriente</t>
  </si>
  <si>
    <t>Otros Pasivos Corto Plazo</t>
  </si>
  <si>
    <t>Pasivos Diferidos</t>
  </si>
  <si>
    <t>Estimados y Provisiones</t>
  </si>
  <si>
    <t>Obligaciones Laborales</t>
  </si>
  <si>
    <t>Impuestos por Pagar</t>
  </si>
  <si>
    <t>Cuentas por Pagar CP</t>
  </si>
  <si>
    <t>Proveedores</t>
  </si>
  <si>
    <t>Bonos y Papeles Comerciales</t>
  </si>
  <si>
    <t>Obligaciones Financieras</t>
  </si>
  <si>
    <t>TOTAL ACTIVO</t>
  </si>
  <si>
    <t>Total ACTIVO</t>
  </si>
  <si>
    <t>Total Activos LP</t>
  </si>
  <si>
    <t>Valorizaciones</t>
  </si>
  <si>
    <t>Otros Activos Largo Plazo</t>
  </si>
  <si>
    <t>Diferidos</t>
  </si>
  <si>
    <t>Deudores LP</t>
  </si>
  <si>
    <t>Otras Cuentas por Cobrar (LP)</t>
  </si>
  <si>
    <t>Inversiones</t>
  </si>
  <si>
    <t>Intangibles (Neto)</t>
  </si>
  <si>
    <t>Activos Fijos</t>
  </si>
  <si>
    <t>Activo Fijo</t>
  </si>
  <si>
    <t>ACTIVO CORRIENTE</t>
  </si>
  <si>
    <t>Otros Deudores</t>
  </si>
  <si>
    <t>Anticipo de Impuestos y contrib o saldo</t>
  </si>
  <si>
    <t>Deudores Comerciales</t>
  </si>
  <si>
    <t>- Provisiones</t>
  </si>
  <si>
    <t>- Deudas de dificil cobro</t>
  </si>
  <si>
    <t>Clientes</t>
  </si>
  <si>
    <t>Inversiones Temporales</t>
  </si>
  <si>
    <t>Caja y Bancos</t>
  </si>
  <si>
    <t>Activo Corriente</t>
  </si>
  <si>
    <t>Balance</t>
  </si>
  <si>
    <t>Suma | Millones (COP) | Anual |</t>
  </si>
  <si>
    <t>Otros</t>
  </si>
  <si>
    <t>Ingresos Financieros</t>
  </si>
  <si>
    <t>Promedio</t>
  </si>
  <si>
    <t>Caja Final</t>
  </si>
  <si>
    <t>Flujo de Caja del Periodo</t>
  </si>
  <si>
    <t>Flujo De Caja Complementario</t>
  </si>
  <si>
    <t>(+) Revalorizacion Patrimonio</t>
  </si>
  <si>
    <t>(-)(A) Bienes Intangibles</t>
  </si>
  <si>
    <t>(-)(A) Dividendos por pagar</t>
  </si>
  <si>
    <t>(+)(A)Cuentas x Pagar Corto y Largo Plazo</t>
  </si>
  <si>
    <t>(-)(A)Otros Pasivos LP</t>
  </si>
  <si>
    <t>(+) Otros Ingresos</t>
  </si>
  <si>
    <t>(-)(A)Activos Diferidos / Depositos Garantia / Otros</t>
  </si>
  <si>
    <t>(-)(A) Deudores LP</t>
  </si>
  <si>
    <t>(-)(A) Otros Activos Corrientes</t>
  </si>
  <si>
    <t>(-)(A) Otros Deudores</t>
  </si>
  <si>
    <t>(-) Dividendos</t>
  </si>
  <si>
    <t>Flujo de Caja</t>
  </si>
  <si>
    <t>Flujo Despues Financiamiento</t>
  </si>
  <si>
    <t>(+)(A) Deudores LP</t>
  </si>
  <si>
    <t>(+)(A) Deudores CP</t>
  </si>
  <si>
    <t>Flujo Despues de costo Financiero</t>
  </si>
  <si>
    <t>(-) Gastos Financieros CP</t>
  </si>
  <si>
    <t>Financieros</t>
  </si>
  <si>
    <t>Flujo de caja libre</t>
  </si>
  <si>
    <t>Flujo de Caja Libre</t>
  </si>
  <si>
    <t>(-) (A) Inversiones Permanentes</t>
  </si>
  <si>
    <t>(-) Incremento en Activo Neto fijo</t>
  </si>
  <si>
    <t>Inversiones en Activos</t>
  </si>
  <si>
    <t>Flujo de Caja Operativo (A.F.)</t>
  </si>
  <si>
    <t>Flujo de Caja Operativo</t>
  </si>
  <si>
    <t>Caja Para Operar</t>
  </si>
  <si>
    <t>(-)(A) Reservas Laborales, Diferidos y Estimados</t>
  </si>
  <si>
    <t>(+) (A) Impuestos X Pagar</t>
  </si>
  <si>
    <t>(+) (A) Cuentas Por Pagar</t>
  </si>
  <si>
    <t>(-) Impuestos Pagados</t>
  </si>
  <si>
    <t>(-) Gastos de Ventas</t>
  </si>
  <si>
    <t>(-) Gastos Administracion</t>
  </si>
  <si>
    <t>Caja para Operar</t>
  </si>
  <si>
    <t>Caja Produccion</t>
  </si>
  <si>
    <t>(+) Depreciacion</t>
  </si>
  <si>
    <t>(+) (A) Proveedores</t>
  </si>
  <si>
    <t>(-) (A) Inventarios</t>
  </si>
  <si>
    <t>(-) Costo Ventas</t>
  </si>
  <si>
    <t>Caja para Producir</t>
  </si>
  <si>
    <t>Caja de Ventas</t>
  </si>
  <si>
    <t>(A) Cuentas x Cobrar Comerciales</t>
  </si>
  <si>
    <t>Ventas Netas</t>
  </si>
  <si>
    <t>Caja Inicial</t>
  </si>
  <si>
    <t>Margen Bruto %</t>
  </si>
  <si>
    <t xml:space="preserve">INDICADORES </t>
  </si>
  <si>
    <t>Utilidad Neta/Patrimonio Neto</t>
  </si>
  <si>
    <t xml:space="preserve">Fuente: Superintendencia de Sociedades - http://sirem.supersociedades.gov.co:9080/SIREM/index.jsp </t>
  </si>
  <si>
    <t>Rotación (Veces)</t>
  </si>
  <si>
    <t>Deuda</t>
  </si>
  <si>
    <t>Promedio Deuda</t>
  </si>
  <si>
    <t>Deuda Marginal</t>
  </si>
  <si>
    <t>Validación</t>
  </si>
  <si>
    <t>ACTIVOS OPERACIONALES</t>
  </si>
  <si>
    <t>Costo Deuda DI</t>
  </si>
  <si>
    <t>Costo Ke</t>
  </si>
  <si>
    <t>WACC</t>
  </si>
  <si>
    <t>EVA</t>
  </si>
  <si>
    <t>D + P</t>
  </si>
  <si>
    <t>% DEUDA</t>
  </si>
  <si>
    <t>% PATRIMONIO</t>
  </si>
  <si>
    <t>ROPA</t>
  </si>
  <si>
    <t>D/P</t>
  </si>
  <si>
    <t>VIABILIDAD ACCIONISTA</t>
  </si>
  <si>
    <t>ROPA - COSTO DEUDA D.I.</t>
  </si>
  <si>
    <t>Tasa implicita interés</t>
  </si>
  <si>
    <t>interés</t>
  </si>
  <si>
    <r>
      <t xml:space="preserve">Pago Interes </t>
    </r>
    <r>
      <rPr>
        <b/>
        <sz val="10"/>
        <color indexed="8"/>
        <rFont val="Calibri"/>
        <family val="2"/>
      </rPr>
      <t>DI</t>
    </r>
  </si>
  <si>
    <t>Capital de Trabajo</t>
  </si>
  <si>
    <t>Crecimiento en Ventas</t>
  </si>
  <si>
    <t>Crecimiento en Activos</t>
  </si>
  <si>
    <t>Crecimiento en Utilidades Netas</t>
  </si>
  <si>
    <t>Crecimiento del Patrimonio</t>
  </si>
  <si>
    <t>Rentabilidad sobre Activos</t>
  </si>
  <si>
    <t>Rentabilidad sobre Patrimonio</t>
  </si>
  <si>
    <t>Rentabilidad Operacional</t>
  </si>
  <si>
    <t>Rentabilidad Neta</t>
  </si>
  <si>
    <t>Nivel de Endeudamiento</t>
  </si>
  <si>
    <t>Endeudamiento sin valorizaciones</t>
  </si>
  <si>
    <t>Concentracion de endeudamiento de corto plazo</t>
  </si>
  <si>
    <t>Activos fijos / Patrimonio</t>
  </si>
  <si>
    <t>Endeudamiento/Ventas</t>
  </si>
  <si>
    <t>Endeudamiento financiero/Ventas</t>
  </si>
  <si>
    <t>Carga de Gastos no Operacionales</t>
  </si>
  <si>
    <t>Cobertura de Gastos no Operacionales</t>
  </si>
  <si>
    <t>EBITDA / Gastos no Operacionales</t>
  </si>
  <si>
    <t>Ciclo Operativo (días)</t>
  </si>
  <si>
    <t>Rotacion del patrimonio</t>
  </si>
  <si>
    <t>Rotacion del activo total</t>
  </si>
  <si>
    <t>Periodo de cobro</t>
  </si>
  <si>
    <t>Periodo de pago a proveedores</t>
  </si>
  <si>
    <t>Razón Corriente (razón)</t>
  </si>
  <si>
    <t>Prueba Acida (razón)</t>
  </si>
  <si>
    <t>Pasivo Corriente/Inventarios</t>
  </si>
  <si>
    <t>FENAO* / Ingresos</t>
  </si>
  <si>
    <t>FENAO* / Patrimonio</t>
  </si>
  <si>
    <t>FENAO* / Activo Total</t>
  </si>
  <si>
    <t>41 INGRESOS OPERACIONALES (ANEXO 1)</t>
  </si>
  <si>
    <t>61 MENOS: COSTO DE VENTAS Y DE PRESTACIÓN DE SERVICIOS (ANEXO 2)</t>
  </si>
  <si>
    <t>UTILIDAD BRUTA</t>
  </si>
  <si>
    <t>51 MENOS: GASTOS OPERACIONALES DE ADMINISTRACIÓN (ANEXO 3)</t>
  </si>
  <si>
    <t>52 MENOS: GASTOS OPERACIONALES DE VENTAS (ANEXO 3)</t>
  </si>
  <si>
    <t>UTILIDAD OPERACIONAL</t>
  </si>
  <si>
    <t>42 MAS: INGRESOS NO OPERACIONALES (ANEXO 5)</t>
  </si>
  <si>
    <t>53 MENOS: GASTOS NO OPERACIONALES (ANEXO 5)</t>
  </si>
  <si>
    <t>UTILIDAD ANTES DE IMPUESTOS Y AJUSTES POR INFLACION</t>
  </si>
  <si>
    <t>47 AJUSTES POR INFLACIÓN (ANEXO 13)</t>
  </si>
  <si>
    <t>54 MENOS: IMPUESTO DE RENTA Y COMPLEMENTARIOS</t>
  </si>
  <si>
    <t>59 GANANCIAS Y PERDIDAS</t>
  </si>
  <si>
    <t>http://www.byington.net/estandares/index.php?accion=guia A107</t>
  </si>
  <si>
    <t>X3= (Utilidad antes de impuesto e intereses +  Gastos no operacionales)/ Total activos</t>
  </si>
  <si>
    <t>X3= (Utilidad antes de impuesto e intereses + Gastos no Operacionales) / Total activos</t>
  </si>
  <si>
    <t>Rotación de Cartera</t>
  </si>
  <si>
    <t>Sector (días)</t>
  </si>
  <si>
    <t>Rotación de Inventarios</t>
  </si>
  <si>
    <t xml:space="preserve">Rotacion del Capital de trabajo Neto Operativo </t>
  </si>
  <si>
    <t>X1= Capital de trabajo neto Operativo/ Total activos</t>
  </si>
  <si>
    <t>Sector Servicios
Software y Tecnologías de la Información - Programa de Transformación Productiva</t>
  </si>
  <si>
    <t>ESTADOS FINANCIEROS AC NIELSEN COLOMBIA LTDA</t>
  </si>
  <si>
    <t>INFORME AC NIELSEN COLOMBIA LTDA</t>
  </si>
  <si>
    <t xml:space="preserve">Comportamiento AC Nielsen Colombia Ltda. respecto al Sector </t>
  </si>
  <si>
    <t xml:space="preserve">Estados de Resultados </t>
  </si>
  <si>
    <t xml:space="preserve">Asesorías Empresariales </t>
  </si>
  <si>
    <t>AC Nielsen de Colombia Ltda</t>
  </si>
  <si>
    <t xml:space="preserve">Estado de Resultados </t>
  </si>
  <si>
    <t>Z= 6,56X1+3,26X2+6,72X3+1,05X4</t>
  </si>
  <si>
    <t>INDICADOR ALTMAN EMPRESAS NO MANUFACTURERAS</t>
  </si>
  <si>
    <t>INDICADOR ALTMAN AC NIELSEN DE COLOMBIA LTDA</t>
  </si>
  <si>
    <t>Para empresas Norteamericanas un Altman Modelo B de 2.60 o más indica poca probabilidad de quiebra mientras que uno igual o inferior a 1.10 es indicativo de una quiebra probable.</t>
  </si>
  <si>
    <t>Z ≥ 2,60</t>
  </si>
  <si>
    <t>Z ≤ 1,10</t>
  </si>
  <si>
    <t>entre 2,59 y 1,11</t>
  </si>
  <si>
    <t>Fuente: http://www.byington.net/estandares/index.php?accion=guia - estos indicadores fueron calculados para AC Nielsen de Colombia Ltda. teniendo en cuenta las fórmulas e interpretación obtenidos de la página y con base en ellos también se cálculo para el sector específico al que pertenece dicha empresa según la clasificación realizada por BPR Benchmark ISI Emerging Markets(Asesorías Empresariales)</t>
  </si>
  <si>
    <t>Para el cálculo del Indicador de Quiebra se tomó la información de "interpretación y fórmulas" de http://www.byington.net/estandares/index.php?accion=guia+A98 - para el caso AC Nielsen de Colombia Ltda se tomó la fórmula para Empresas No Manufactureras</t>
  </si>
  <si>
    <t>DESCRIPCIÓN DE LA COMPAÑÍA</t>
  </si>
  <si>
    <t>Fuente: Superintendencia de Sociedades - Cálculos propios</t>
  </si>
  <si>
    <t>TABLA N° 1. Tasa Libre de Riesgo Estados Unidos</t>
  </si>
  <si>
    <t>MARKET RISK PREMIUM</t>
  </si>
  <si>
    <t>Arithmetic Average</t>
  </si>
  <si>
    <t>Risk Premium</t>
  </si>
  <si>
    <t>Standard Error</t>
  </si>
  <si>
    <t>PERIOD</t>
  </si>
  <si>
    <t>Stocks</t>
  </si>
  <si>
    <t>T.Bills</t>
  </si>
  <si>
    <t>T.Bonds</t>
  </si>
  <si>
    <t>Stocks - T.Bills</t>
  </si>
  <si>
    <t>Stocks - T.Bonds</t>
  </si>
  <si>
    <t>1928-2012</t>
  </si>
  <si>
    <t>Geometric Average</t>
  </si>
  <si>
    <r>
      <t>Tabla N</t>
    </r>
    <r>
      <rPr>
        <sz val="11"/>
        <color theme="1"/>
        <rFont val="Calibri"/>
        <family val="2"/>
      </rPr>
      <t>° 5. Prima de Riesgo Pais (Colombia).</t>
    </r>
  </si>
  <si>
    <t>COUNTRY RISK PREMIUM</t>
  </si>
  <si>
    <t>Concepto</t>
  </si>
  <si>
    <t>Tasa</t>
  </si>
  <si>
    <t>Country Default Spread (COL)</t>
  </si>
  <si>
    <t>10 years average EMBI - JPMorgan</t>
  </si>
  <si>
    <t>Equity Index Standard Deviation (IGBC COL)</t>
  </si>
  <si>
    <t>10 years average</t>
  </si>
  <si>
    <t>EMBI Col Index Standard Deviation (COL)</t>
  </si>
  <si>
    <t>Desviación estándar relativa</t>
  </si>
  <si>
    <t>Volatilidad relativa Equity / Bond :</t>
  </si>
  <si>
    <t>Country Risk Premium</t>
  </si>
  <si>
    <r>
      <t>Tabla N</t>
    </r>
    <r>
      <rPr>
        <b/>
        <sz val="11"/>
        <color theme="1"/>
        <rFont val="Calibri"/>
        <family val="2"/>
      </rPr>
      <t>° 6. Estimacion Beta.</t>
    </r>
  </si>
  <si>
    <t>Estimación del Beta</t>
  </si>
  <si>
    <r>
      <t>b</t>
    </r>
    <r>
      <rPr>
        <u/>
        <vertAlign val="subscript"/>
        <sz val="10"/>
        <rFont val="Tahoma"/>
        <family val="2"/>
      </rPr>
      <t>u</t>
    </r>
  </si>
  <si>
    <t xml:space="preserve">% </t>
  </si>
  <si>
    <t>Weighted Factor</t>
  </si>
  <si>
    <t>Industria</t>
  </si>
  <si>
    <t>Fuente</t>
  </si>
  <si>
    <t>Unlevered Beta / Emerging market</t>
  </si>
  <si>
    <r>
      <t>Weighted Average b</t>
    </r>
    <r>
      <rPr>
        <vertAlign val="subscript"/>
        <sz val="10"/>
        <rFont val="Tahoma"/>
        <family val="2"/>
      </rPr>
      <t>u</t>
    </r>
  </si>
  <si>
    <t xml:space="preserve">FUENTE: DAMODARAN ON LINE. Levered and unlevered betas by industry. Disponible en http://pages.stern.nyu.edu/~adamodar/. Consulta: Febrero de 2013 </t>
  </si>
  <si>
    <t xml:space="preserve">Tabla No. 8. Cálculo de la tasa de descuento para compañía del Sector Asesorías Empresariales </t>
  </si>
  <si>
    <t>Costo de Capital</t>
  </si>
  <si>
    <t>Observación</t>
  </si>
  <si>
    <t>Valor</t>
  </si>
  <si>
    <t>Tasa Libre de Riesgo</t>
  </si>
  <si>
    <t>10 year US Treasury Bond Yield</t>
  </si>
  <si>
    <r>
      <t>R</t>
    </r>
    <r>
      <rPr>
        <b/>
        <vertAlign val="subscript"/>
        <sz val="10"/>
        <color theme="1"/>
        <rFont val="Arial"/>
        <family val="2"/>
      </rPr>
      <t>f,USD</t>
    </r>
    <r>
      <rPr>
        <b/>
        <sz val="10"/>
        <color theme="1"/>
        <rFont val="Arial"/>
        <family val="2"/>
      </rPr>
      <t xml:space="preserve">  </t>
    </r>
  </si>
  <si>
    <t>Beta</t>
  </si>
  <si>
    <t>Levered Beta</t>
  </si>
  <si>
    <r>
      <t>ß</t>
    </r>
    <r>
      <rPr>
        <b/>
        <vertAlign val="subscript"/>
        <sz val="10"/>
        <color theme="1"/>
        <rFont val="Arial"/>
        <family val="2"/>
      </rPr>
      <t>a i</t>
    </r>
  </si>
  <si>
    <t>Unlevered Beta</t>
  </si>
  <si>
    <t>Tasa impuestos COP</t>
  </si>
  <si>
    <t xml:space="preserve">D/E Compañía </t>
  </si>
  <si>
    <t>Market Risk Premium (Rm -  Rf)</t>
  </si>
  <si>
    <t>Metodo:</t>
  </si>
  <si>
    <t>Geometrico</t>
  </si>
  <si>
    <t>Periodo:</t>
  </si>
  <si>
    <t>Prima de Riesgo:</t>
  </si>
  <si>
    <t>Stocks-T-Bonds</t>
  </si>
  <si>
    <t>Ke (USD), costo de capital.</t>
  </si>
  <si>
    <t>IPC PROYECTADO USA 2014</t>
  </si>
  <si>
    <t xml:space="preserve">(Rm – Rf) </t>
  </si>
  <si>
    <t>IPC PROYECTADO COP 2014</t>
  </si>
  <si>
    <t>Ke ajustado</t>
  </si>
  <si>
    <t>Inflacion Relativa (COP/USD)</t>
  </si>
  <si>
    <t>= (1+3,10%)/(1+2,10%)-1 =0,98%</t>
  </si>
  <si>
    <t>Ajuste Ke por inflación relativa.</t>
  </si>
  <si>
    <t>Fuente: inflaciones estimadas: Sala Bloomberg Biblioteca Universidad Jorge Tadeo Lozano. Consulta: Febrero de 2013</t>
  </si>
  <si>
    <t>FECHA</t>
  </si>
  <si>
    <t>Number of firms</t>
  </si>
  <si>
    <t xml:space="preserve">Beta </t>
  </si>
  <si>
    <t>D/E Ratio</t>
  </si>
  <si>
    <t>Tax rate</t>
  </si>
  <si>
    <t>Unlevered beta</t>
  </si>
  <si>
    <t>Cash/Firm value</t>
  </si>
  <si>
    <t>Unlevered beta corrected for cash</t>
  </si>
  <si>
    <t>Advertising</t>
  </si>
  <si>
    <t>Aerospace/Defense</t>
  </si>
  <si>
    <t>Air Transport</t>
  </si>
  <si>
    <t>Apparel</t>
  </si>
  <si>
    <t>Auto &amp; Truck</t>
  </si>
  <si>
    <t>Auto Parts</t>
  </si>
  <si>
    <t>Banks (Regional)</t>
  </si>
  <si>
    <t>Beverage (Alcoholic)</t>
  </si>
  <si>
    <t>Broadcasting</t>
  </si>
  <si>
    <t>Brokerage &amp; Investment Banking</t>
  </si>
  <si>
    <t>Building Materials</t>
  </si>
  <si>
    <t>Business &amp; Consumer Services</t>
  </si>
  <si>
    <t>Cable TV</t>
  </si>
  <si>
    <t>Chemical (Basic)</t>
  </si>
  <si>
    <t>Chemical (Diversified)</t>
  </si>
  <si>
    <t>Chemical (Specialty)</t>
  </si>
  <si>
    <t>Coal &amp; Related Energy</t>
  </si>
  <si>
    <t>Computer Services</t>
  </si>
  <si>
    <t>Computers/Peripherals</t>
  </si>
  <si>
    <t>Diversified</t>
  </si>
  <si>
    <t>Electrical Equipment</t>
  </si>
  <si>
    <t>Electronics (Consumer &amp; Office)</t>
  </si>
  <si>
    <t>Entertainment</t>
  </si>
  <si>
    <t>Environmental &amp; Waste Services</t>
  </si>
  <si>
    <t>Farming/Agriculture</t>
  </si>
  <si>
    <t>Financial Svcs. (Non-bank &amp; Insurance)</t>
  </si>
  <si>
    <t>Food Processing</t>
  </si>
  <si>
    <t>Food Wholesalers</t>
  </si>
  <si>
    <t>Furn/Home Furnishings</t>
  </si>
  <si>
    <t>Healthcare Products</t>
  </si>
  <si>
    <t>Heathcare Information and Technology</t>
  </si>
  <si>
    <t>Homebuilding</t>
  </si>
  <si>
    <t>Hotel/Gaming</t>
  </si>
  <si>
    <t>Household Products</t>
  </si>
  <si>
    <t>Information Services</t>
  </si>
  <si>
    <t>Insurance (General)</t>
  </si>
  <si>
    <t>Insurance (Life)</t>
  </si>
  <si>
    <t>Insurance (Prop/Cas.)</t>
  </si>
  <si>
    <t>Machinery</t>
  </si>
  <si>
    <t>Metals &amp; Mining</t>
  </si>
  <si>
    <t>Office Equipment &amp; Services</t>
  </si>
  <si>
    <t>Oil/Gas (Integrated)</t>
  </si>
  <si>
    <t>Oil/Gas (Production and Exploration)</t>
  </si>
  <si>
    <t>Oil/Gas Distribution</t>
  </si>
  <si>
    <t>Oilfield Svcs/Equip.</t>
  </si>
  <si>
    <t>Packaging &amp; Container</t>
  </si>
  <si>
    <t>Paper/Forest Products</t>
  </si>
  <si>
    <t>Power</t>
  </si>
  <si>
    <t>Precious Metals</t>
  </si>
  <si>
    <t>Publshing &amp; Newspapers</t>
  </si>
  <si>
    <t>R.E.I.T.</t>
  </si>
  <si>
    <t>Real Estate (Development)</t>
  </si>
  <si>
    <t>Real Estate (Operations &amp; Services)</t>
  </si>
  <si>
    <t>Recreation</t>
  </si>
  <si>
    <t>Reinsurance</t>
  </si>
  <si>
    <t>Retail (Automotive)</t>
  </si>
  <si>
    <t>Retail (Building Supply)</t>
  </si>
  <si>
    <t>Retail (Distributors)</t>
  </si>
  <si>
    <t>Retail (General)</t>
  </si>
  <si>
    <t>Retail (Grocery and Food)</t>
  </si>
  <si>
    <t>Retail (Special Lines)</t>
  </si>
  <si>
    <t>Rubber&amp; Tires</t>
  </si>
  <si>
    <t>Semiconductor</t>
  </si>
  <si>
    <t>Semiconductor Equip</t>
  </si>
  <si>
    <t>Shipbuilding &amp; Marine</t>
  </si>
  <si>
    <t>Shoe</t>
  </si>
  <si>
    <t>Steel</t>
  </si>
  <si>
    <t>Telecom (Wireless)</t>
  </si>
  <si>
    <t>Telecom. Equipment</t>
  </si>
  <si>
    <t>Telecom. Services</t>
  </si>
  <si>
    <t>Tobacco</t>
  </si>
  <si>
    <t>Trucking</t>
  </si>
  <si>
    <t>Utility (General)</t>
  </si>
  <si>
    <t>Utility (Water)</t>
  </si>
  <si>
    <t>Grand Total</t>
  </si>
  <si>
    <t xml:space="preserve">Participación </t>
  </si>
  <si>
    <t>Crecimiento 2010</t>
  </si>
  <si>
    <t>Crecimiento 2007</t>
  </si>
  <si>
    <t>22 PROVEEDORES (CP)</t>
  </si>
  <si>
    <t>Rf</t>
  </si>
  <si>
    <t>D/E</t>
  </si>
  <si>
    <t xml:space="preserve">Donde: </t>
  </si>
  <si>
    <t>Ba</t>
  </si>
  <si>
    <t>EMBI (COP)</t>
  </si>
  <si>
    <t>Desvest EMBI</t>
  </si>
  <si>
    <t>Prima de Riesgo País</t>
  </si>
  <si>
    <t>Inflación COL</t>
  </si>
  <si>
    <t>Inflación USA</t>
  </si>
  <si>
    <t>Inflación relativa</t>
  </si>
  <si>
    <t>INGRESOS OPERACIONALES</t>
  </si>
  <si>
    <t>ACTIVO OPERACIONALES</t>
  </si>
  <si>
    <t>Capital de Trabajo Neto Operativo - Principales Cuentas</t>
  </si>
  <si>
    <t>Concept</t>
  </si>
  <si>
    <t>Industry</t>
  </si>
  <si>
    <t>Source</t>
  </si>
  <si>
    <r>
      <t>b</t>
    </r>
    <r>
      <rPr>
        <b/>
        <u/>
        <vertAlign val="subscript"/>
        <sz val="8"/>
        <rFont val="Times New Roman"/>
        <family val="1"/>
      </rPr>
      <t>L</t>
    </r>
  </si>
  <si>
    <t>Tax Rate</t>
  </si>
  <si>
    <r>
      <t>b</t>
    </r>
    <r>
      <rPr>
        <b/>
        <u/>
        <vertAlign val="subscript"/>
        <sz val="8"/>
        <rFont val="Times New Roman"/>
        <family val="1"/>
      </rPr>
      <t>u</t>
    </r>
  </si>
  <si>
    <t>Apollo Group Inc. (NasdaqGS:APOL)</t>
  </si>
  <si>
    <t>Capital IQ</t>
  </si>
  <si>
    <t>Axel Springer AG (DB:SPR)</t>
  </si>
  <si>
    <t>IHS Inc. (NYSE:IHS)</t>
  </si>
  <si>
    <t>Pearson plc (LSE:PSON)</t>
  </si>
  <si>
    <t>Publicis Groupe SA (ENXTPA:PUB)</t>
  </si>
  <si>
    <t>The Interpublic Group of Companies, Inc. (NYSE:IPG)</t>
  </si>
  <si>
    <t>The McGraw-Hill Companies, Inc. (NYSE:MHP)</t>
  </si>
  <si>
    <t>Thomson Reuters Corporation (TSX:TRI)</t>
  </si>
  <si>
    <t>Wolters Kluwer NV (ENXTAM:WKL)</t>
  </si>
  <si>
    <t>WPP plc (LSE:WPP)</t>
  </si>
  <si>
    <t>Average (Simple)</t>
  </si>
  <si>
    <t>Bottom Up Beta</t>
  </si>
  <si>
    <t>15-35%</t>
  </si>
  <si>
    <t>20 - 25,5%</t>
  </si>
  <si>
    <t xml:space="preserve">Rentabilidad Bruta </t>
  </si>
  <si>
    <t xml:space="preserve">Crecimiento en Utilidad Operacional </t>
  </si>
  <si>
    <t>Crecimiento del Capital de Trabajo Neto Operativo</t>
  </si>
  <si>
    <t>Pasivo Total / Ventas</t>
  </si>
  <si>
    <t>Ciclo de Conversión a Efectivo</t>
  </si>
  <si>
    <t xml:space="preserve">Activo Total Sector </t>
  </si>
  <si>
    <t>Pasivo Total Sector</t>
  </si>
  <si>
    <t>Incremento 1*</t>
  </si>
  <si>
    <t>Incremento 2*</t>
  </si>
  <si>
    <t>Costo de Capital en USA</t>
  </si>
  <si>
    <t xml:space="preserve">Factor </t>
  </si>
  <si>
    <t>2012</t>
  </si>
  <si>
    <t xml:space="preserve">Depreciación y amortizacion </t>
  </si>
  <si>
    <t>Crecimiento 2011</t>
  </si>
  <si>
    <t>1305 CLIENTES</t>
  </si>
  <si>
    <t xml:space="preserve"> </t>
  </si>
  <si>
    <t>-</t>
  </si>
  <si>
    <t xml:space="preserve">Inventario </t>
  </si>
  <si>
    <t>Activo Sector</t>
  </si>
  <si>
    <t>Pasivo Sector</t>
  </si>
  <si>
    <t>= (5,11% + (0,608 * 4,20%) + (3,17%)= 10,83%</t>
  </si>
  <si>
    <t>= (1+10,83%)*(1+0,98%)-1 = 11,92%</t>
  </si>
  <si>
    <t>1105 CAJA</t>
  </si>
  <si>
    <t>1110 BANCOS</t>
  </si>
  <si>
    <t>1120 CUENTAS DE AHORRO</t>
  </si>
  <si>
    <t>1125 FONDOS</t>
  </si>
  <si>
    <t>1305 CLIENTES (ANEXO 8)</t>
  </si>
  <si>
    <t>1399 PROVISIONES (CP)</t>
  </si>
  <si>
    <t>1415 OBRAS DE CONSTRUC. EN CURSO (ANEXO 17)</t>
  </si>
  <si>
    <t>1417 OBRAS DE URBANISMO (ANEXO 17)</t>
  </si>
  <si>
    <t>1430 PRODUCTOS TERMINADOS (ANEXO 2)</t>
  </si>
  <si>
    <t>1435 M/CÍAS NO FABRICADAS POR LA EMP.(ANEXO 2)</t>
  </si>
  <si>
    <t>1440 BIENES RAÍCES PARA LA VENTA (ANEXO 17)</t>
  </si>
  <si>
    <t>1450 TERRENOS (ANEXO 17)</t>
  </si>
  <si>
    <t>14 SUBTOTAL INVENTARIOS (CP)</t>
  </si>
  <si>
    <t>TOTAL ACTIVO CORRIENTE</t>
  </si>
  <si>
    <t>1310 CUENTAS CORRIENTES COMERCIALES</t>
  </si>
  <si>
    <t>1315 CUENTAS POR COBRAR A CASA MATRIZ</t>
  </si>
  <si>
    <t>1320 CUENTAS POR COBRAR A VINCULADOS ECONÓM.</t>
  </si>
  <si>
    <t>1323 CUENTAS POR COBRAR A DIRECTORES</t>
  </si>
  <si>
    <t>1325 CUENTAS POR COBRAR A SOCIOS Y ACCIONISTAS</t>
  </si>
  <si>
    <t>1330 ANTICIPOS Y AVANCES</t>
  </si>
  <si>
    <t>1332 CUENTAS DE OPERACIÓN CONJUNTA</t>
  </si>
  <si>
    <t>1335 DEPÓSITOS</t>
  </si>
  <si>
    <t>1340 PROMESAS DE COMPRAVENTA</t>
  </si>
  <si>
    <t>1345 INGRESOS POR COBRAR</t>
  </si>
  <si>
    <t>1350 RETENCIÓN SOBRE CONTRATOS</t>
  </si>
  <si>
    <t>1355 ANTICIPO DE IMPTOS.Y CONTRIB.O SALDOS A FAVOR</t>
  </si>
  <si>
    <t>1360 RECLAMACIONES</t>
  </si>
  <si>
    <t>1365 CUENTAS POR COBRAR A TRABAJADORES</t>
  </si>
  <si>
    <t>1370 PRESTAMOS A PARTICULARES</t>
  </si>
  <si>
    <t>1380 DEUDORES VARIOS</t>
  </si>
  <si>
    <t>1385 DERECHOS DE RECOMP. DE CART.NEGOCIADA</t>
  </si>
  <si>
    <t>1390 DEUDAS DE DIFÍCIL COBRO</t>
  </si>
  <si>
    <t>1399 PROVISIONES</t>
  </si>
  <si>
    <t>13 SUBTOTAL DEUDORES A LARGO PLAZO</t>
  </si>
  <si>
    <t>15 PROPIEDADES PLANTA Y EQUIPO(ANEXO 9)</t>
  </si>
  <si>
    <t>1605 CRÉDITO MERCANTIL</t>
  </si>
  <si>
    <t>1610 MARCAS</t>
  </si>
  <si>
    <t>1615 PATENTES</t>
  </si>
  <si>
    <t>1620 CONCESIONES Y FRANQUICIAS</t>
  </si>
  <si>
    <t>1625 DERECHOS</t>
  </si>
  <si>
    <t>1630 KNOW HOW</t>
  </si>
  <si>
    <t>1635 LICENCIAS</t>
  </si>
  <si>
    <t>1699 PROVISIONES</t>
  </si>
  <si>
    <t>16 SUBTOTAL INTANGIBLES</t>
  </si>
  <si>
    <t>1705 GASTOS PAGADOS POR ANTICIPADO</t>
  </si>
  <si>
    <t>1710 CARGOS DIFERIDOS</t>
  </si>
  <si>
    <t>1715 COSTOS DE EXPLORACIÓN POR AMORTIZAR</t>
  </si>
  <si>
    <t>1720 COSTOS DE EXPLOTACIÓN Y DESARROLLO</t>
  </si>
  <si>
    <t>1730 CARGOS POR CORRECCIÓN MONETARIA DIFERIDA</t>
  </si>
  <si>
    <t>1798 AMORTIZACIÓN ACUMULADA</t>
  </si>
  <si>
    <t>17 SUBTOTAL DIFERIDOS</t>
  </si>
  <si>
    <t>1805 BIENES DE ARTE Y CULTURA</t>
  </si>
  <si>
    <t>1895 DIVERSOS</t>
  </si>
  <si>
    <t>1899 PROVISIONES</t>
  </si>
  <si>
    <t>18 SUBTOTAL OTROS ACTIVOS</t>
  </si>
  <si>
    <t>1905 DE INVERSIONES</t>
  </si>
  <si>
    <t>1910 DE PROPIEDADES PLANTA Y EQUIPO (ANEXO 9)</t>
  </si>
  <si>
    <t>1995 DE OTROS ACTIVOS</t>
  </si>
  <si>
    <t>19 SUBTOTAL VALORIZACIONES</t>
  </si>
  <si>
    <t>TOTAL ACTIVO NO CORRIENTE</t>
  </si>
  <si>
    <t>22 PROVEEDORES (ANEXO 10) (CP)</t>
  </si>
  <si>
    <t>2375 CUOTAS POR DEVOLVER (ANEXO18)</t>
  </si>
  <si>
    <t>2380 ACREEDORES (CP)</t>
  </si>
  <si>
    <t>2620 PENSIONES DE JUBILACIÓN (ANEXO 14)</t>
  </si>
  <si>
    <t>2695 PROVISIONES DIVERSAS (CP)</t>
  </si>
  <si>
    <t>2835 ACREEDORES DEL SISTEMA (ANEXO 18)</t>
  </si>
  <si>
    <t>28 SUBTOTAL OTROS PASIVOS (CP)</t>
  </si>
  <si>
    <t>2920 BONOS PENSIONALES (ANEXO 14)</t>
  </si>
  <si>
    <t>2925 TÍTULOS PENSIONALES (ANEXO 14)</t>
  </si>
  <si>
    <t>TOTAL PASIVO CORRIENTE</t>
  </si>
  <si>
    <t>21 OBLIGACIONES FINANCIERAS (ANEXO10)</t>
  </si>
  <si>
    <t>2305 CUENTAS CORRIENTES COMERCIALES</t>
  </si>
  <si>
    <t>2310 A CASA MATRIZ</t>
  </si>
  <si>
    <t>2315 A COMPAÑÍAS VINCULADAS</t>
  </si>
  <si>
    <t>2320 A CONTRATISTAS</t>
  </si>
  <si>
    <t>2335 COSTOS Y GASTOS POR PAGAR</t>
  </si>
  <si>
    <t>2345 ACREEDORES OFICIALES</t>
  </si>
  <si>
    <t>2350 REGALÍAS POR PAGAR</t>
  </si>
  <si>
    <t>2355 DEUDAS CON ACCIONISTAS O SOCIOS</t>
  </si>
  <si>
    <t>2357 DEUDAS CON DIRECTORES</t>
  </si>
  <si>
    <t>2360 DIVIDENDOS O PARTICIPACIONES POR PAGAR</t>
  </si>
  <si>
    <t>2375 CUOTAS POR DEVOLVER (ANEXO 18)</t>
  </si>
  <si>
    <t>2380 ACREEDORES VARIOS</t>
  </si>
  <si>
    <t>23 SUBTOTAL CUENTAS POR PAGAR</t>
  </si>
  <si>
    <t>25 OBLIGACIONES LABORALES</t>
  </si>
  <si>
    <t>2605 PARA COSTOS Y GASTOS</t>
  </si>
  <si>
    <t>2610 PARA OBLIGACIONES LABORALES</t>
  </si>
  <si>
    <t>2615 PARA OBLIGACIONES FISCALES</t>
  </si>
  <si>
    <t>2625 PARA OBRAS DE URBANISMO</t>
  </si>
  <si>
    <t>2635 PARA CONTINGENCIAS</t>
  </si>
  <si>
    <t>2640 PARA OBLIGACIONES DE GARANTÍAS</t>
  </si>
  <si>
    <t>2695 PROVISIONES DIVERSAS</t>
  </si>
  <si>
    <t>26 SUBTOTAL PASIVOS ESTIMAD. Y PROVIS.</t>
  </si>
  <si>
    <t>2705 INGRESOS RECIBIDOS POR ANTICIPADO</t>
  </si>
  <si>
    <t>2710 ABONOS DIFERIDOS</t>
  </si>
  <si>
    <t>2715 UTILIDAD DIFERIDA EN VENTAS A PLAZOS</t>
  </si>
  <si>
    <t>2720 CRÉDITO POR CORRECCIÓN MONETARIA DIFERIDA</t>
  </si>
  <si>
    <t>2725 IMPUESTOS DIFERIDOS</t>
  </si>
  <si>
    <t>27 SUBTOTAL DIFERIDOS</t>
  </si>
  <si>
    <t>2805 AVANCES Y ANTICIPOS RECIBIDOS</t>
  </si>
  <si>
    <t>2810 DEPÓSITOS RECIBIDOS</t>
  </si>
  <si>
    <t>2815 INGRESOS RECIBIDOS PARA TERCEROS</t>
  </si>
  <si>
    <t>2820 CUENTAS DE OPERACIÓN CONJUNTA</t>
  </si>
  <si>
    <t>2825 RETENCIONES A TERCEROS SOBRE CONTRATOS</t>
  </si>
  <si>
    <t>2840 CUENTAS EN PARTICIPACIÓN</t>
  </si>
  <si>
    <t>2895 DIVERSOS</t>
  </si>
  <si>
    <t>28 SUBTOTAL OTROS PASIVOS</t>
  </si>
  <si>
    <t>2905 BONOS EN CIRCULACIÓN</t>
  </si>
  <si>
    <t>2910 BONOS OBLIGATOR. CONVERTIBLES EN ACCIONES</t>
  </si>
  <si>
    <t>2915 PAPELES COMERCIALES</t>
  </si>
  <si>
    <t>29 SUBTOTAL BONOS Y PAPELES COMERCIA.</t>
  </si>
  <si>
    <t>TOTAL PASIVO NO CORRIENTE</t>
  </si>
  <si>
    <t>3105 CAPITAL SUSCRITO Y PAGADO (ANEXO 12)</t>
  </si>
  <si>
    <t>3115 APORTES SOCIALES</t>
  </si>
  <si>
    <t>3120 CAPITAL ASIGNADO</t>
  </si>
  <si>
    <t>3125 INVERSIÓN SUPLEMENTARIA AL CAPITAL ASIGNADO</t>
  </si>
  <si>
    <t>3130 CAPITAL DE PERSONAS NATURALES</t>
  </si>
  <si>
    <t>3135 APORTES DEL ESTADO</t>
  </si>
  <si>
    <t>3140 FONDO SOCIAL</t>
  </si>
  <si>
    <t>31 SUBTOTAL CAPITAL SOCIAL</t>
  </si>
  <si>
    <t>3205 PRIMA EN COLOC.ACC,CUOTAS O PARTES DE INT. SOCIAL</t>
  </si>
  <si>
    <t>3210 DONACIONES</t>
  </si>
  <si>
    <t>3215 CRÉDITO MERCANTIL</t>
  </si>
  <si>
    <t>3220 KNOW HOW</t>
  </si>
  <si>
    <t>3225 SUPERÁVIT MÉTODO DE PARTICIPACIÓN</t>
  </si>
  <si>
    <t>32 SUBTOTAL SUPERÁVIT DE CAPITAL</t>
  </si>
  <si>
    <t>33 RESERVAS (ANEXO 11)</t>
  </si>
  <si>
    <t>34 REVALORIZACIÓN DEL PATRIMONIO</t>
  </si>
  <si>
    <t>35 DIVIDEN. O PARTC. DECRET. EN ACC.O CUOTAS</t>
  </si>
  <si>
    <t>36 RESULTADOS DEL EJERCICIO</t>
  </si>
  <si>
    <t>37 RESULTADOS DE EJERCICIOS ANTERIORES</t>
  </si>
  <si>
    <t>38 SUPERÁVIT POR VALORIZACIONES</t>
  </si>
  <si>
    <t>81 DERECHOS CONTINGENTES</t>
  </si>
  <si>
    <t>82 DEUDORAS FISCALES</t>
  </si>
  <si>
    <t>83 DEUDORAS DE CONTROL</t>
  </si>
  <si>
    <t>9 CUENTAS DE ORDEN ACREEDORAS POR CONTRA</t>
  </si>
  <si>
    <t>91 RESPONSABILIDADES CONTINGENTES</t>
  </si>
  <si>
    <t>92 ACREEDORAS FISCALES</t>
  </si>
  <si>
    <t>93 ACREEDORAS DE CONTROL</t>
  </si>
  <si>
    <t>8 CTAS DE ORDEN DEUDORAS POR CONTRA</t>
  </si>
  <si>
    <t>1115 REMESAS EN TRANSITO</t>
  </si>
  <si>
    <t>2013</t>
  </si>
  <si>
    <t>2014</t>
  </si>
  <si>
    <t>Bank (Money Center)</t>
  </si>
  <si>
    <t>Beverage (Soft)</t>
  </si>
  <si>
    <t>Construction Supplies</t>
  </si>
  <si>
    <t>Drugs (Biotechnology)</t>
  </si>
  <si>
    <t>Drugs (Pharmaceutical)</t>
  </si>
  <si>
    <t>Education</t>
  </si>
  <si>
    <t>Electronics (General)</t>
  </si>
  <si>
    <t>Engineering/Construction</t>
  </si>
  <si>
    <t>Green &amp; Renewable Energy</t>
  </si>
  <si>
    <t>Healthcare Support Services</t>
  </si>
  <si>
    <t>Hospitals/Healthcare Facilities</t>
  </si>
  <si>
    <t>Investments &amp; Asset Management</t>
  </si>
  <si>
    <t>Real Estate (General/Diversified)</t>
  </si>
  <si>
    <t>Restaurant/Dining</t>
  </si>
  <si>
    <t>Retail (Online)</t>
  </si>
  <si>
    <t>Software (Entertainment)</t>
  </si>
  <si>
    <t>Software (Internet)</t>
  </si>
  <si>
    <t>Software (System &amp; Application)</t>
  </si>
  <si>
    <t>Transportation</t>
  </si>
  <si>
    <t>Transportation (Railroads)</t>
  </si>
  <si>
    <t>Unclassified</t>
  </si>
  <si>
    <t>1928-2014</t>
  </si>
  <si>
    <t>1962-2014</t>
  </si>
  <si>
    <t>2002-2014</t>
  </si>
  <si>
    <t>4.88%</t>
  </si>
  <si>
    <t>6.11%</t>
  </si>
  <si>
    <t>4.84%</t>
  </si>
  <si>
    <t>5.00%</t>
  </si>
  <si>
    <t>6.25%</t>
  </si>
  <si>
    <t>2.73%</t>
  </si>
  <si>
    <t>4.60%</t>
  </si>
  <si>
    <t>11.53%</t>
  </si>
  <si>
    <t>3.53%</t>
  </si>
  <si>
    <t>5.28%</t>
  </si>
  <si>
    <t>8.00%</t>
  </si>
  <si>
    <t>2.17%</t>
  </si>
  <si>
    <t>2.32%</t>
  </si>
  <si>
    <t>11.23%</t>
  </si>
  <si>
    <t>5.04%</t>
  </si>
  <si>
    <t>7.11%</t>
  </si>
  <si>
    <t>6.19%</t>
  </si>
  <si>
    <t>4.12%</t>
  </si>
  <si>
    <t>2.42%</t>
  </si>
  <si>
    <t>2.74%</t>
  </si>
  <si>
    <t>9.37%</t>
  </si>
  <si>
    <t>1.44%</t>
  </si>
  <si>
    <t>5.31%</t>
  </si>
  <si>
    <t>7.94%</t>
  </si>
  <si>
    <t>4.06%</t>
  </si>
  <si>
    <t>6.05%</t>
  </si>
  <si>
    <t>8.65%</t>
  </si>
  <si>
    <t>9.60%</t>
  </si>
  <si>
    <t>3.49%</t>
  </si>
  <si>
    <t>9.84%</t>
  </si>
  <si>
    <t>4.99%</t>
  </si>
  <si>
    <t>6.70%</t>
  </si>
  <si>
    <t>3.14%</t>
  </si>
  <si>
    <t>7.60%</t>
  </si>
  <si>
    <t>1.42%</t>
  </si>
  <si>
    <t>6.18%</t>
  </si>
  <si>
    <t>Fuente: Damodaran on line (pagina del profesor Damodaran, NYU). Updated data, historical returns on stocks Bonds and Bills - United States. Disponible en: http://pages.stern.nyu.edu/~adamodar/. Consulta: 05 de Enero de 2015</t>
  </si>
  <si>
    <t>Fuente: BPR Benchmark de ISI Emerging Markets- Fecha de consulta Agosto 2015</t>
  </si>
  <si>
    <t>(-)(A) Otros Gastos</t>
  </si>
  <si>
    <t>Crecimiento 2014</t>
  </si>
  <si>
    <t>Participación 2014</t>
  </si>
  <si>
    <t>BANCOS</t>
  </si>
  <si>
    <t>Participación 2013</t>
  </si>
  <si>
    <t>Participacion 2014</t>
  </si>
  <si>
    <t>PROMEDIO</t>
  </si>
  <si>
    <t xml:space="preserve">Los Activos Operacionales rotaron en promedio 2,39 veces durante el periodo objeto de análisis (2010-2014) </t>
  </si>
  <si>
    <t>Mediante Analisis Dupont podemos observar que la generación del ROE arroja una cifra promedio de 31,7%, este se da más por la rentabilidad del activo que por Rentabilidad Operacional, es de destacar que la empresa es financieramente sana, ya que no toma deuda, como podemos observar tan solo en el ultimo año tomo deuda.</t>
  </si>
  <si>
    <t>Al finalizar el periodo contable, la empresa refleja mediante su Capital de Trabajo Neto Operativo negativo, que le puede ocasionar problemas para cubrir sus pasivos de corto plazo, no obstante, su flujo de efectivo en el periodo de análisis muestra que en promedio AC Nielsen Colombia Ltda. cuenta con 103 días para curbir sus pasivos de CP y sus días de pago en promedio estan al rededor de 29.</t>
  </si>
  <si>
    <t>ACTIVIDAD ECONOMICA</t>
  </si>
  <si>
    <t>MISION</t>
  </si>
  <si>
    <t>VISION</t>
  </si>
  <si>
    <t>VALORES</t>
  </si>
  <si>
    <t>PRODUCTOS O SERVICIOS</t>
  </si>
  <si>
    <t>COTIZA EN BOLSA</t>
  </si>
  <si>
    <t>TIPO DE SOCIEDAD:</t>
  </si>
  <si>
    <t>SOCIOS o EJECUTIVOS Y JUNTA DIRECTIVA</t>
  </si>
  <si>
    <t>PRODUCTOS</t>
  </si>
  <si>
    <t>CALCULO DE DIVIDENDOS</t>
  </si>
  <si>
    <t>Pago Dividendos</t>
  </si>
  <si>
    <t>RESERVA LEGAL (10% DE LA UTUILIDAD DEL EJERCICIO ANTERIOR O MÁXIMO EL 50% DEL CAPITAL SUSCRITO EN CASO DE SER LIMITADAS EL 50% DEL CAPITAL SUSCRITO Y PAGADO)</t>
  </si>
  <si>
    <t>EL PAGO DE DIVIDENDOS SE DECRETA EN LA ASAMBLEA NACIONAL DE ACCIONISTAS</t>
  </si>
  <si>
    <t>LA FORMA DE PAGO DEBE DARSE DENTRO DEL AÑO FISCAL</t>
  </si>
  <si>
    <t>LOS DIVIDENDOS DEBEN PAGARSE  CUANDO HAYA DISPONIBILIDAD DE CAJA</t>
  </si>
  <si>
    <t>LA POLÍTICA DE DIVIDENDOS DEBE SER EMITIDA POR LA ASAMBLEA GENERAL DE ACCIONISTAS</t>
  </si>
  <si>
    <t>EL REPRESENTANTE LEGAL SE COMPROMETE A PAGAR LOS DIVIDENDOS EN LAS FECHAS ESTABLECIDAS (SINO PUEDE SER CAUSAL DE DESPIDO)</t>
  </si>
  <si>
    <t>Fuente: http://www.byington.net/estandares/index.php?accion=guia - estos indicadores fueron calculados para Nalsani S. A. S, teniendo en cuenta las fórmulas e interpretación obtenidos de la página y con base en ellos también se cálculo para el sector específico al que pertenece dicha empresa según la clasificación realizada por BPR Benchmark ISI Emerging Markets(Manufacturas Especiales)</t>
  </si>
  <si>
    <t>Z= 1,2X1+1,4X2+3,3X3+ 0,6X4+ X5</t>
  </si>
  <si>
    <t>Factor</t>
  </si>
  <si>
    <t>X1= Capital de trabajo/ Total activos</t>
  </si>
  <si>
    <t>X3= (Utilidad operacional)/ Total activos</t>
  </si>
  <si>
    <t>X5= Ventas / Total activos</t>
  </si>
  <si>
    <t>Para el cálculo del Indicador de Quiebra se tomó la información de "interpretación y fórmulas" de http://www.byington.net/estandares/index.php?accion=guia+A98 - para el caso Nalsani S. A. S se tomó la fórmula para Empresas Manufactureras</t>
  </si>
  <si>
    <t>Z= 0,717X1+0,847X2+3,107X3+ 0,420X4+ 0,998X5</t>
  </si>
  <si>
    <t>Z ≥ 3</t>
  </si>
  <si>
    <t>"Para empresas Norteamericanas un Altman Modelo A de 2.90 o más indica poca probabilidad de quiebra mientras que uno igual o inferior a 1.23 es indicativo de una quiebra probable".www.byington.net</t>
  </si>
  <si>
    <t>Nielsen</t>
  </si>
  <si>
    <t>INDICADOR ALTMAN Nielsen</t>
  </si>
  <si>
    <t>Situación normal</t>
  </si>
  <si>
    <t>Peligro de quiebra</t>
  </si>
  <si>
    <t>INDICADOR ALTMAN SECTOR ACTIVIDADES DE SERVICIOS FINANCIEROS, EXCEPTO LAS DE SEGUROS Y FONDOS DE PENSIONES</t>
  </si>
  <si>
    <t>Z ≤ 2,6</t>
  </si>
  <si>
    <t>entre 1,88 y 2,6</t>
  </si>
  <si>
    <t>INDICADORES DE SANIDAD FINANCIERA</t>
  </si>
  <si>
    <t xml:space="preserve">Ratio </t>
  </si>
  <si>
    <t>Empresas Sanas</t>
  </si>
  <si>
    <t>Precaución</t>
  </si>
  <si>
    <t xml:space="preserve">Empresas con problemas de endeudamiento y solvencia </t>
  </si>
  <si>
    <t xml:space="preserve">Liquidez = </t>
  </si>
  <si>
    <t xml:space="preserve">Mayor o igual que 1,42 </t>
  </si>
  <si>
    <t>Entre 1,2-1,42</t>
  </si>
  <si>
    <t xml:space="preserve">Menor que 1,2 </t>
  </si>
  <si>
    <t xml:space="preserve">Activo corriente / Pasivo corriente </t>
  </si>
  <si>
    <t xml:space="preserve">Capitalización = </t>
  </si>
  <si>
    <t xml:space="preserve">Mayor o igual que 0,40 </t>
  </si>
  <si>
    <t xml:space="preserve">Menor que 0,30 </t>
  </si>
  <si>
    <t xml:space="preserve">Patrimonio neto / Activo </t>
  </si>
  <si>
    <t xml:space="preserve">Rendimiento = </t>
  </si>
  <si>
    <t xml:space="preserve">Mayor que 0,05 </t>
  </si>
  <si>
    <t>Entre 0,02-0,05</t>
  </si>
  <si>
    <t xml:space="preserve">Menor que 0,02 </t>
  </si>
  <si>
    <t xml:space="preserve">Utilidad operacional / Activo </t>
  </si>
  <si>
    <t xml:space="preserve">Rentabilidad de las ventas= utilidad neta / Ventas </t>
  </si>
  <si>
    <t xml:space="preserve">Mayor que 0,03 </t>
  </si>
  <si>
    <t xml:space="preserve">Entre 0,01-0,03 </t>
  </si>
  <si>
    <t xml:space="preserve">Menor que 0,01 </t>
  </si>
  <si>
    <t xml:space="preserve">Rentabilidad financiera = Utilidad  neto / Patrimonio neto </t>
  </si>
  <si>
    <t xml:space="preserve">Mayor que 0,07 </t>
  </si>
  <si>
    <t>Entre 0,03-0,07</t>
  </si>
  <si>
    <t xml:space="preserve">Menor que 0,03 </t>
  </si>
  <si>
    <t>Endedudamiento financiero/Ventas</t>
  </si>
  <si>
    <t>Menor al 25%</t>
  </si>
  <si>
    <t>No hay</t>
  </si>
  <si>
    <t>Mayor al 25%</t>
  </si>
  <si>
    <t>INDICADOR</t>
  </si>
  <si>
    <t>Situacion</t>
  </si>
  <si>
    <t>Capitalización = Patrimonio/ activo</t>
  </si>
  <si>
    <t>Rendimiento = ROA OPERACIONAL</t>
  </si>
  <si>
    <t>Rentabilidad ventas</t>
  </si>
  <si>
    <t>MODELO CONAN &amp; HOLDER</t>
  </si>
  <si>
    <t>Z = 0.24 x1 + 0.22 x2 + 0.16 x3 – 0.87 x4 - 0.10 x5</t>
  </si>
  <si>
    <r>
      <t xml:space="preserve">x1 </t>
    </r>
    <r>
      <rPr>
        <i/>
        <sz val="9"/>
        <color rgb="FF000000"/>
        <rFont val="Arial"/>
        <family val="2"/>
      </rPr>
      <t>= EBIT</t>
    </r>
    <r>
      <rPr>
        <sz val="9"/>
        <color rgb="FF000000"/>
        <rFont val="Arial"/>
        <family val="2"/>
      </rPr>
      <t xml:space="preserve"> / Total Pasivo</t>
    </r>
  </si>
  <si>
    <r>
      <t xml:space="preserve">x2 </t>
    </r>
    <r>
      <rPr>
        <i/>
        <sz val="9"/>
        <color rgb="FF000000"/>
        <rFont val="Arial"/>
        <family val="2"/>
      </rPr>
      <t xml:space="preserve">=Total  </t>
    </r>
    <r>
      <rPr>
        <sz val="9"/>
        <color rgb="FF000000"/>
        <rFont val="Arial"/>
        <family val="2"/>
      </rPr>
      <t xml:space="preserve">Patrimonio + Pasivo LP / Total activo </t>
    </r>
  </si>
  <si>
    <t>x3 = Efectivo más inversiones temporales / Pasivo corriente</t>
  </si>
  <si>
    <t>x4 = Gastos financieros / Ventas</t>
  </si>
  <si>
    <t>x5 = Gastos Operacionales / Ventas</t>
  </si>
  <si>
    <t>CONAN HOLDER SCORE</t>
  </si>
  <si>
    <t>Probabilidad</t>
  </si>
  <si>
    <t>100% PD</t>
  </si>
  <si>
    <t>90% PD</t>
  </si>
  <si>
    <t>80% PD</t>
  </si>
  <si>
    <t>70% PD</t>
  </si>
  <si>
    <t>60% PD</t>
  </si>
  <si>
    <t>50% PD</t>
  </si>
  <si>
    <t>40% PD</t>
  </si>
  <si>
    <t>30% PD</t>
  </si>
  <si>
    <t>20% PD</t>
  </si>
  <si>
    <t>10% PD</t>
  </si>
  <si>
    <t>FER (FONDOS ESTIMADOS REQUERIDOS) (NUEVO ENDEUDAMIENTO)</t>
  </si>
  <si>
    <t>ESTADO DE RESULTADOS</t>
  </si>
  <si>
    <t>CRECIMIENTO EN VENTAS</t>
  </si>
  <si>
    <t>DESCRIPCION CUENTA</t>
  </si>
  <si>
    <t>Ingresos Operacionales</t>
  </si>
  <si>
    <t>MENOS:  Costos De Ventas y De Prestacion De Servicios</t>
  </si>
  <si>
    <t>MENOS:  Gastos Operacionales De Administración</t>
  </si>
  <si>
    <t>MENOS:  Gastos Operacionales De Ventas</t>
  </si>
  <si>
    <t>MAS: Ingresos No Operacionales</t>
  </si>
  <si>
    <t>MENOS: Gastos No Operacionales</t>
  </si>
  <si>
    <t>UTILIDAD ANTES DE IMPUESTOS Y AJUSTE  POR INFLACION</t>
  </si>
  <si>
    <t>Ajustes Por Inflacion</t>
  </si>
  <si>
    <t>MENOS: Impuestos De Renta y Complementarios</t>
  </si>
  <si>
    <t>GANANCIAS Y PERDIDAS</t>
  </si>
  <si>
    <t>PAGO DIVIDENDOS</t>
  </si>
  <si>
    <t>UTILIDAD DESPUES DE DIVIDENDOS</t>
  </si>
  <si>
    <t>BALANCE GENERAL</t>
  </si>
  <si>
    <t>DESCRIPCION DE LA CUENTA</t>
  </si>
  <si>
    <t>SUBTOTAL DISPONIBLE</t>
  </si>
  <si>
    <t>INVERSIONES CP</t>
  </si>
  <si>
    <t>SUBTOTAL DEUDORES CORTO PLAZO</t>
  </si>
  <si>
    <t>SUBTOTAL INVENTARIOS</t>
  </si>
  <si>
    <t>SUBTOTAL DIFERIDO</t>
  </si>
  <si>
    <t>INVERSIONES LP</t>
  </si>
  <si>
    <t>PROPIEDADES PLANTA Y EQUIPO NETO</t>
  </si>
  <si>
    <t>SUBTOTAL INTANGIBLES</t>
  </si>
  <si>
    <t>SUBTOTAL DIFERIDOS</t>
  </si>
  <si>
    <t>SUBTOTAL OTROS ACTIVOS</t>
  </si>
  <si>
    <t>SUBTOTAL VALORIZACIONES</t>
  </si>
  <si>
    <t>OBLIGACIONES FINANCIERAS (CP)</t>
  </si>
  <si>
    <t>PROVEEDORES</t>
  </si>
  <si>
    <t>SUBTOTAL CUENTAS POR PAGAR CORTO PLAZO</t>
  </si>
  <si>
    <t>IMPUESTOS GRAVAMENES Y TASAS</t>
  </si>
  <si>
    <t>OBLIGACIONES LABORALES CORTO PLAZO</t>
  </si>
  <si>
    <t>SUBTOTAL PASIVOS ESTIMADOS Y PROVISIONES</t>
  </si>
  <si>
    <t>DIFERIDOS CORTO PLAZO</t>
  </si>
  <si>
    <t>SUBTOTAL OTROS PASIVOS CORTO PLAZO</t>
  </si>
  <si>
    <t>OBLIGACIONES FINANCIERAS  (LP)</t>
  </si>
  <si>
    <t>PROVEEDORES (LP)</t>
  </si>
  <si>
    <t>OTRAS CUENTAS POR PAGAR</t>
  </si>
  <si>
    <t>IMPUESTOS Y GRAVAMENES</t>
  </si>
  <si>
    <t>OBLIGACIONES LABORALES LARGO PLAZO</t>
  </si>
  <si>
    <t>SUBTOTAL DIFERIDOS LARGO PLAZO</t>
  </si>
  <si>
    <t>SUBTOTAL CAPITAL SOCIAL</t>
  </si>
  <si>
    <t>SUBTOTAL SUPERAVIT DE CAPITAL</t>
  </si>
  <si>
    <t>RESERVAS</t>
  </si>
  <si>
    <t>REVALORIZACION DEL PATRIMONIO</t>
  </si>
  <si>
    <t>RESULTADOS DEL EJERCICIO</t>
  </si>
  <si>
    <t>RESULTADOS DE EJERCICIOS ANTERIORES</t>
  </si>
  <si>
    <t>SUPERAVIT POR VALORIZACIONES</t>
  </si>
  <si>
    <t>TOTAL</t>
  </si>
  <si>
    <t>FER</t>
  </si>
  <si>
    <t>FUENTES Y USOS</t>
  </si>
  <si>
    <t>2006-2007</t>
  </si>
  <si>
    <t>2007-2008</t>
  </si>
  <si>
    <t>2008-2009</t>
  </si>
  <si>
    <t>2009-2010</t>
  </si>
  <si>
    <t>2010-2011</t>
  </si>
  <si>
    <t>2011-2012</t>
  </si>
  <si>
    <t>2012-2013</t>
  </si>
  <si>
    <t>2013-2014</t>
  </si>
  <si>
    <t>Uso</t>
  </si>
  <si>
    <t>FLUJO DE FONDOS</t>
  </si>
  <si>
    <t>Utilidad operacional</t>
  </si>
  <si>
    <t>menos impuestos</t>
  </si>
  <si>
    <t>Mas depreciacion</t>
  </si>
  <si>
    <t>Mas amortizacion</t>
  </si>
  <si>
    <t>FLUJO NETO DE OPERACIÓN</t>
  </si>
  <si>
    <t>Variacion capital de trabajo</t>
  </si>
  <si>
    <t>Cambio en activos fijos</t>
  </si>
  <si>
    <t>FLUJO NETO DE LA INVERSION</t>
  </si>
  <si>
    <t>TOTAL FLUJO DE CAJA LIBRE</t>
  </si>
  <si>
    <t>Variación activos no corrientes</t>
  </si>
  <si>
    <t>Variación pasivos no corrientes</t>
  </si>
  <si>
    <t>Otras cuentas de patrimonio</t>
  </si>
  <si>
    <t>Aportes de capital</t>
  </si>
  <si>
    <t>Pago de dividendos</t>
  </si>
  <si>
    <t>Mas otros ingresos</t>
  </si>
  <si>
    <t>Pago de Intereses</t>
  </si>
  <si>
    <t>Ajuste contable</t>
  </si>
  <si>
    <t>FLUJO FINANCIERO</t>
  </si>
  <si>
    <t>Caja del periodo</t>
  </si>
  <si>
    <t>Saldo inicial de caja</t>
  </si>
  <si>
    <t>Caja final</t>
  </si>
  <si>
    <t>Cajas finales</t>
  </si>
  <si>
    <t>Cuenta de control</t>
  </si>
  <si>
    <t>CALCULO CAPITAL DE TRABAJO</t>
  </si>
  <si>
    <t>Suma Activos corrientes menos caja</t>
  </si>
  <si>
    <t>Pasivos Corrientes</t>
  </si>
  <si>
    <t xml:space="preserve">Capital de trabajo </t>
  </si>
  <si>
    <t xml:space="preserve">Variación capital de trabajo </t>
  </si>
  <si>
    <t>|</t>
  </si>
  <si>
    <t>PARAMETROS</t>
  </si>
  <si>
    <t>INFLACION</t>
  </si>
  <si>
    <t>INCREMENTO VOLUMEN</t>
  </si>
  <si>
    <t>INGRESOS PROYECTADOS POR REGRESION LINEAL</t>
  </si>
  <si>
    <t>INGRESOS PROYECTADOS POR INFLACION</t>
  </si>
  <si>
    <t xml:space="preserve">INGRESOS PROYECTADO POR VOLUMEN </t>
  </si>
  <si>
    <t>INGRESOS PROYECTADO CON INFLACION Y VOLUMEN</t>
  </si>
  <si>
    <t>PARAMETROS DE PROYECCION</t>
  </si>
  <si>
    <t>PROYECCIONES</t>
  </si>
  <si>
    <t>Proyección de ventas (regresion exponencial)</t>
  </si>
  <si>
    <t>Proyeccion de costo de ventas</t>
  </si>
  <si>
    <t>Proyeccion Gastos de administración</t>
  </si>
  <si>
    <t>Proyección gastos de ventas</t>
  </si>
  <si>
    <t>Proyección proveedores</t>
  </si>
  <si>
    <t>Proyeccion inventarios</t>
  </si>
  <si>
    <t>Proyección  C x C</t>
  </si>
  <si>
    <t>KTNO (Capital de trabajo Neto Operativo)</t>
  </si>
  <si>
    <t>Variación de capital de trabajo</t>
  </si>
  <si>
    <t>FLUJO NEGOCIO</t>
  </si>
  <si>
    <t>Menos Costo de ventas</t>
  </si>
  <si>
    <t>Menos gastos de administracion</t>
  </si>
  <si>
    <t>Menos gastos de ventas</t>
  </si>
  <si>
    <t>Menos Impuestos</t>
  </si>
  <si>
    <t>Flujo operacional bruto</t>
  </si>
  <si>
    <t xml:space="preserve"> +/- variación de KTNO</t>
  </si>
  <si>
    <t>Flujo operacional bruto para cálculo del capex</t>
  </si>
  <si>
    <t>COSTOS DE DEUDA Y PROVEEDORES</t>
  </si>
  <si>
    <t>Costo de proveedores</t>
  </si>
  <si>
    <t>Valor proveedores</t>
  </si>
  <si>
    <t>Descuentos por PP</t>
  </si>
  <si>
    <t>Tasa efectIva anual</t>
  </si>
  <si>
    <t>EA</t>
  </si>
  <si>
    <t>Costo de deuda</t>
  </si>
  <si>
    <t>Valor pasivos financieros</t>
  </si>
  <si>
    <t>Tasa de interes</t>
  </si>
  <si>
    <t>DTF</t>
  </si>
  <si>
    <t>NATA</t>
  </si>
  <si>
    <t>Spread</t>
  </si>
  <si>
    <t>tasa total</t>
  </si>
  <si>
    <t>Plazo</t>
  </si>
  <si>
    <t>Periodo</t>
  </si>
  <si>
    <t>Saldo</t>
  </si>
  <si>
    <t>amortizacion capital</t>
  </si>
  <si>
    <t>intereses</t>
  </si>
  <si>
    <t>Escudo fiscal</t>
  </si>
  <si>
    <t>Valor pago neto</t>
  </si>
  <si>
    <t>TIR del flujo</t>
  </si>
  <si>
    <t xml:space="preserve">VALOR </t>
  </si>
  <si>
    <t>COSTO F</t>
  </si>
  <si>
    <t xml:space="preserve">VALOR DEUDA </t>
  </si>
  <si>
    <t xml:space="preserve">PROVEEDORES </t>
  </si>
  <si>
    <t xml:space="preserve">DEUDA FINANCIERA </t>
  </si>
  <si>
    <t xml:space="preserve">TOTALES </t>
  </si>
  <si>
    <t xml:space="preserve">COSTO PONDERADO DEUDA </t>
  </si>
  <si>
    <t>Modelo dólares a pesos</t>
  </si>
  <si>
    <t>CALCULO COSTO DEL PATRIMONIO</t>
  </si>
  <si>
    <t>Rf (usa)</t>
  </si>
  <si>
    <t>www.bloomberg.com</t>
  </si>
  <si>
    <t>Rm - Rf (usa)</t>
  </si>
  <si>
    <t>www.damadoran.com</t>
  </si>
  <si>
    <t>www.ambito.com</t>
  </si>
  <si>
    <t>http://datlascolombia.com/</t>
  </si>
  <si>
    <t>BETA DESAPALANCADO</t>
  </si>
  <si>
    <t>BA</t>
  </si>
  <si>
    <t>(1+((1-T)*VPF/VP))*Beta damodaran</t>
  </si>
  <si>
    <t>VALOR PASIVOS FINANCIEROS</t>
  </si>
  <si>
    <t>VALOR PATRIMONIAL</t>
  </si>
  <si>
    <t>TASA IMPOSITIVA</t>
  </si>
  <si>
    <t>Costo de Capital Nielsen</t>
  </si>
  <si>
    <t>WACC o CPPC</t>
  </si>
  <si>
    <t>Costo  de la deuda</t>
  </si>
  <si>
    <t>Costo del patrimonio</t>
  </si>
  <si>
    <t>Total Activo</t>
  </si>
  <si>
    <t>Total Patrimonio</t>
  </si>
  <si>
    <t>Total Pasivo</t>
  </si>
  <si>
    <t>VALOR ECONOMICO AGREGADO (EVA)</t>
  </si>
  <si>
    <t>Industry Name</t>
  </si>
  <si>
    <t>Medimos la efectividad de la campaña en función del objetivo de mercadotecnia primordial. Nuestras soluciones miden en forma oportuna, para que puedas optimizar el desempeño de una campaña en plena aplicación. La medición es a través de plataformas, para obtener una visión holística e integrada de cada campaña, y está respaldada con calidad y precisión líder en la industria, por lo que puedes confiar en la información que te proporcionamos. Nuestra suite BrandEffect proporciona a anunciantes, agencias y medios, la capacidad de medir y optimizar la publicidad en todas sus formas: TV, Internet, dispositivos móviles y tabletas. Medimos todo tipo de formatos de anuncios, que te da los conocimientos que necesitas para entender si un anuncio resonó y la forma en que se movía la aguja contra tu objetivo principal de campaña y en tiempo real.</t>
  </si>
  <si>
    <t xml:space="preserve"> Donde quiera que estés buscando hacer negocios, ya sea en otra ciudad o en otro país o continente, entendemos la importancia de conocer lo que los consumidores ven y compran. Esa es nuestra pasión y el centro de nuestro negocio.</t>
  </si>
  <si>
    <t>Estudiamos y conocemos a los consumidores en más de 100 países para ofrecer la visión más completa sobre las tendencias y hábitos de todo el mundo. Y estamos en constante evolución, no sólo en dónde medimos o qué medimos, sino también en la forma en que nuestra información y conocimiento pueden ayudarle a impulsar un crecimiento rentable.</t>
  </si>
  <si>
    <t>NO</t>
  </si>
  <si>
    <t>SOCIEDAD LIMITADA</t>
  </si>
  <si>
    <t>Fundador: Arthur C. Nielsen Director Ejecutivo: Dave Calhoun Vicepresidenta Ejecutiva: Susan D. Whiting Vicepresidente ejecutivo: Mitchell J. Habib</t>
  </si>
  <si>
    <t>GRADO DE APALANCAMIENTO FINANCIERO</t>
  </si>
  <si>
    <t>% PARA GF</t>
  </si>
  <si>
    <t>% PARA AMORTIZAR K</t>
  </si>
  <si>
    <t>pago intereses optimos</t>
  </si>
  <si>
    <t>Disponible para amort K</t>
  </si>
  <si>
    <t>MAXIMO ENDEUDA</t>
  </si>
  <si>
    <t>MAXIMO ENDEUD OPTIMO</t>
  </si>
  <si>
    <t>Años para amortizar deuda</t>
  </si>
  <si>
    <t>Años</t>
  </si>
  <si>
    <t>deuda empresa</t>
  </si>
  <si>
    <t>Costos de los inventarios</t>
  </si>
  <si>
    <t>Inflación Prom</t>
  </si>
  <si>
    <t>Valor inventarios</t>
  </si>
  <si>
    <t>Dias Inventario</t>
  </si>
  <si>
    <t>Rotacion inventario</t>
  </si>
  <si>
    <t>WACC periodico</t>
  </si>
  <si>
    <t>Costo de sostenimiento inv</t>
  </si>
  <si>
    <t>Costo acumilados ocultos</t>
  </si>
  <si>
    <t>Costos de sost indexados</t>
  </si>
  <si>
    <t>Costos acumulados indexados</t>
  </si>
  <si>
    <t>Variación Ventas</t>
  </si>
  <si>
    <t>PIB</t>
  </si>
  <si>
    <t>INFLACIÓN</t>
  </si>
  <si>
    <t>∆ SALARIO MÍN</t>
  </si>
  <si>
    <t>FORMACIÓN BRUTA DE K</t>
  </si>
  <si>
    <t>DEVALUACIÓN</t>
  </si>
  <si>
    <t>TASA DE REFERENCIA BANCO REP</t>
  </si>
  <si>
    <t>12/31/2000</t>
  </si>
  <si>
    <t>12/31/2001</t>
  </si>
  <si>
    <t>12/31/2002</t>
  </si>
  <si>
    <t>12/31/2003</t>
  </si>
  <si>
    <t>12/31/2004</t>
  </si>
  <si>
    <t>12/31/2005</t>
  </si>
  <si>
    <t>12/31/2006</t>
  </si>
  <si>
    <t>12/31/2007</t>
  </si>
  <si>
    <t>12/31/2008</t>
  </si>
  <si>
    <t>12/31/2009</t>
  </si>
  <si>
    <t>12/31/2010</t>
  </si>
  <si>
    <t>12/31/2011</t>
  </si>
  <si>
    <t>12/31/2012</t>
  </si>
  <si>
    <t>12/31/2013</t>
  </si>
  <si>
    <t>12/31/2014</t>
  </si>
  <si>
    <t>12/31/2015</t>
  </si>
  <si>
    <t>12/31/2016</t>
  </si>
  <si>
    <t>12/31/2017</t>
  </si>
  <si>
    <t>12/31/2018</t>
  </si>
  <si>
    <t>12/31/2019</t>
  </si>
  <si>
    <t>12/31/2020</t>
  </si>
  <si>
    <t>REGRESORAS</t>
  </si>
  <si>
    <t>Intercepción</t>
  </si>
  <si>
    <t>Resumen</t>
  </si>
  <si>
    <t>Estadísticas de la regresión</t>
  </si>
  <si>
    <t>Coeficiente de correlación múltiple</t>
  </si>
  <si>
    <t>Coeficiente de determinación R^2</t>
  </si>
  <si>
    <t>R^2  ajustado</t>
  </si>
  <si>
    <t>Error típico</t>
  </si>
  <si>
    <t>Observaciones</t>
  </si>
  <si>
    <t>ANÁLISIS DE VARIANZA</t>
  </si>
  <si>
    <t>Grados de libertad</t>
  </si>
  <si>
    <t>Suma de cuadrados</t>
  </si>
  <si>
    <t>Promedio de los cuadrados</t>
  </si>
  <si>
    <t>F</t>
  </si>
  <si>
    <t>Valor crítico de F</t>
  </si>
  <si>
    <t>Regresión</t>
  </si>
  <si>
    <t>Residuos</t>
  </si>
  <si>
    <t>Total</t>
  </si>
  <si>
    <t>Coeficientes</t>
  </si>
  <si>
    <t>Estadístico t</t>
  </si>
  <si>
    <t>Inferior 95%</t>
  </si>
  <si>
    <t>Superior 95%</t>
  </si>
  <si>
    <t>Inferior 80,0%</t>
  </si>
  <si>
    <t>Superior 80,0%</t>
  </si>
  <si>
    <t>Fórmula</t>
  </si>
  <si>
    <t>Y= -0,0818841877964827 + 1,31801140110399 PIB + 2,99857709614417 INFLACIÓN -0,921753806327935 BANREP -0,0876378788697553 DEVALUACIÓN+ 1,07973488387815 SALARIO MÍN - 0,38778709908862 FORMACIÓN DE K</t>
  </si>
  <si>
    <t>MILLONES COP $$</t>
  </si>
  <si>
    <t>Crecimiento en Ventas Anual</t>
  </si>
  <si>
    <t>Costo de Ventas</t>
  </si>
  <si>
    <t>Como % de las Ventas</t>
  </si>
  <si>
    <t>Ingreso Bruto</t>
  </si>
  <si>
    <t>Margen Bruto</t>
  </si>
  <si>
    <t xml:space="preserve">EBITDA </t>
  </si>
  <si>
    <t xml:space="preserve">Margen EBITDA </t>
  </si>
  <si>
    <t>Crecimiento EBITDA</t>
  </si>
  <si>
    <t>Supuestos</t>
  </si>
  <si>
    <t>Activos Corrientes</t>
  </si>
  <si>
    <t>Deudores Corto Plazo</t>
  </si>
  <si>
    <t>A/R en dias</t>
  </si>
  <si>
    <t>Días de inventario</t>
  </si>
  <si>
    <t>Activos de largo plazo</t>
  </si>
  <si>
    <t>A/R como % de las ventas</t>
  </si>
  <si>
    <t>Pasivos Corriente</t>
  </si>
  <si>
    <t>Proveedores (A/P) días</t>
  </si>
  <si>
    <t>Cuentas por pagar como % de COGS</t>
  </si>
  <si>
    <t>Impuestos gravámenes y tasas as a % of Income Taxes</t>
  </si>
  <si>
    <t xml:space="preserve">AC Nielsen </t>
  </si>
  <si>
    <t>Estados Financieros</t>
  </si>
  <si>
    <t>(Millones de Pesos Colombianos)</t>
  </si>
  <si>
    <t>P&amp;G</t>
  </si>
  <si>
    <t>Como Pct Ventas</t>
  </si>
  <si>
    <t>Gastos en Ventas</t>
  </si>
  <si>
    <t>Como Pct de SGA</t>
  </si>
  <si>
    <t>Gastos Administrativos</t>
  </si>
  <si>
    <t>Total SG&amp;A</t>
  </si>
  <si>
    <t>Margen Operacional</t>
  </si>
  <si>
    <t>Ingresos no Operacionales</t>
  </si>
  <si>
    <t>Gastos no Operacionales</t>
  </si>
  <si>
    <t>Utilidad Antes de Impuestos y Ajuste por Inflación</t>
  </si>
  <si>
    <t>Tasa Efeciva de Impuestos</t>
  </si>
  <si>
    <t>Impuestos de Renta y Complementarios</t>
  </si>
  <si>
    <t>BALANCE</t>
  </si>
  <si>
    <t>Subtotal Disponible</t>
  </si>
  <si>
    <t>Inversiones Corto Plazo</t>
  </si>
  <si>
    <t>Subtotal Deudores Corto Plazo</t>
  </si>
  <si>
    <t>Subtotal Inventarios</t>
  </si>
  <si>
    <t>Subtotal Diferido</t>
  </si>
  <si>
    <t>Total Activos Corrientes</t>
  </si>
  <si>
    <t>Activos no Corrientes</t>
  </si>
  <si>
    <t>Inversiones Largo Plazo</t>
  </si>
  <si>
    <t>Propiedades Planta y Equipo</t>
  </si>
  <si>
    <t>Subtotal Intangibles</t>
  </si>
  <si>
    <t>Subtotal Diferidos</t>
  </si>
  <si>
    <t>Subtotal Otros Activos</t>
  </si>
  <si>
    <t>Subtotal Valorizaciones</t>
  </si>
  <si>
    <t>Total Activos no Corrientes</t>
  </si>
  <si>
    <t>Total Activos</t>
  </si>
  <si>
    <t>Pasivos</t>
  </si>
  <si>
    <t>Oblicaciones Financieras (CP)</t>
  </si>
  <si>
    <t>Subtotal Cuentas por Pagar (CP)</t>
  </si>
  <si>
    <t>Impuestos Gravamenes y Tasas</t>
  </si>
  <si>
    <t xml:space="preserve">Oblicaciones Laborales (CP) </t>
  </si>
  <si>
    <t>Subtotal Pasivos Estimados y Provisiones</t>
  </si>
  <si>
    <t>Diferidos (CP)</t>
  </si>
  <si>
    <t>Subtotal Otros Pasivos (CP)</t>
  </si>
  <si>
    <t>Total pasivos Corrientes</t>
  </si>
  <si>
    <t>Pasivos No Corrientes</t>
  </si>
  <si>
    <t>Proveedores (LP)</t>
  </si>
  <si>
    <t>Otras Cuentas por Pagar</t>
  </si>
  <si>
    <t>Impuestos y Gravamenes</t>
  </si>
  <si>
    <t>Obligaciones Laborales (LP)</t>
  </si>
  <si>
    <t>Subtotal Diferidos (LP)</t>
  </si>
  <si>
    <t>Total pasivos no corrientes</t>
  </si>
  <si>
    <t>Total Pasivos</t>
  </si>
  <si>
    <t>Subtotal Capital Social</t>
  </si>
  <si>
    <t>Subtotal Superavit de Capital</t>
  </si>
  <si>
    <t>Reservas</t>
  </si>
  <si>
    <t>Revalorización del Patrimonio</t>
  </si>
  <si>
    <t>Resultados del Ejercicio</t>
  </si>
  <si>
    <t>Resultados de Ejercicios Anteriores</t>
  </si>
  <si>
    <t>Superavit por Valorizaciones</t>
  </si>
  <si>
    <t>TOTAL pasivo y Patimonio</t>
  </si>
  <si>
    <t>Prueba</t>
  </si>
  <si>
    <t>Total Deuda</t>
  </si>
  <si>
    <t>Deuda Neta</t>
  </si>
  <si>
    <t>FLUJO DE CAJA</t>
  </si>
  <si>
    <t>Variación Capital de Trabajo</t>
  </si>
  <si>
    <t>Cambio en Activos Fijos</t>
  </si>
  <si>
    <t>FLUJO NETO DE LA INVERSIÓN</t>
  </si>
  <si>
    <t>Variación Activos no corrientes</t>
  </si>
  <si>
    <t>Variación Pasivos no corrientes</t>
  </si>
  <si>
    <t>Otras Cuentas de Patrimonio</t>
  </si>
  <si>
    <t>Aportes de Capital</t>
  </si>
  <si>
    <t>Pago de Dividendos</t>
  </si>
  <si>
    <t>(+) Otros ingresos</t>
  </si>
  <si>
    <t>Ajuste Contable</t>
  </si>
  <si>
    <t>Saldo Inicial de Caja</t>
  </si>
  <si>
    <t>TOTAL DIVIDENDOS</t>
  </si>
  <si>
    <t>PP&amp;E and CAPEX</t>
  </si>
  <si>
    <t>Propiedad, Planta y Equipo</t>
  </si>
  <si>
    <t>Gastos de depreciación</t>
  </si>
  <si>
    <t>CAPEX Mantenimiento</t>
  </si>
  <si>
    <t>M&amp;A</t>
  </si>
  <si>
    <t>Depreciación como % de PP&amp;E</t>
  </si>
  <si>
    <t>Capex como % de las ventas</t>
  </si>
  <si>
    <t>Intangibles &amp; Amortización</t>
  </si>
  <si>
    <t xml:space="preserve">Intangibles, neto </t>
  </si>
  <si>
    <t>Amortización</t>
  </si>
  <si>
    <t>Adiciones</t>
  </si>
  <si>
    <t>Amortización como % de Intangibles</t>
  </si>
  <si>
    <t>Cálculo Capital de Trabajo</t>
  </si>
  <si>
    <t>∆ Capital de Trabajo</t>
  </si>
  <si>
    <t>EMBI +</t>
  </si>
  <si>
    <t>Xi</t>
  </si>
  <si>
    <t>H^i</t>
  </si>
  <si>
    <t>m</t>
  </si>
  <si>
    <t>Disperción</t>
  </si>
  <si>
    <t>y mayor...</t>
  </si>
  <si>
    <t xml:space="preserve">d </t>
  </si>
  <si>
    <t>Tx</t>
  </si>
  <si>
    <t>KD</t>
  </si>
  <si>
    <t>g</t>
  </si>
  <si>
    <t>Valor Residual</t>
  </si>
  <si>
    <t>Kd</t>
  </si>
  <si>
    <t>ke</t>
  </si>
  <si>
    <t># de acciones</t>
  </si>
  <si>
    <t>Valor Acción</t>
  </si>
  <si>
    <t>Impuestos sobre EBIT</t>
  </si>
  <si>
    <t>Cambio en el Capital de Trabajo</t>
  </si>
  <si>
    <t>Capex</t>
  </si>
  <si>
    <t>Terminal Value</t>
  </si>
  <si>
    <t>Valor Presente FCL</t>
  </si>
  <si>
    <t>Tasa de Crecimiento a Perpetuidad</t>
  </si>
  <si>
    <t>Valor de la Empresa</t>
  </si>
  <si>
    <t>Ke</t>
  </si>
  <si>
    <t>Vr Acción</t>
  </si>
  <si>
    <t>Sensibilidad</t>
  </si>
  <si>
    <t xml:space="preserve">Ke </t>
  </si>
  <si>
    <t>Intereses</t>
  </si>
  <si>
    <t>FCL Inversionistas (firma)</t>
  </si>
  <si>
    <t>ROTACIONES</t>
  </si>
  <si>
    <t>CxP</t>
  </si>
  <si>
    <t>Inventario Inicial</t>
  </si>
  <si>
    <t>Compras</t>
  </si>
  <si>
    <t>Inventario Final</t>
  </si>
  <si>
    <t>KWNO</t>
  </si>
  <si>
    <t>Efectivo</t>
  </si>
  <si>
    <t>Suma Activos Corrientes menos caja</t>
  </si>
  <si>
    <t>Indicadores Financieros</t>
  </si>
  <si>
    <t>Rentabilidad sobre Ventas</t>
  </si>
  <si>
    <t>Ventas 2014</t>
  </si>
  <si>
    <t>Utilidad neta (2014)</t>
  </si>
  <si>
    <t>Valor nominal x acción</t>
  </si>
  <si>
    <t># acciones</t>
  </si>
  <si>
    <t>EV</t>
  </si>
  <si>
    <t>AC NIELSEN DE COLOMBIA LTDA</t>
  </si>
  <si>
    <t>NAPOLEÓN FRANCO</t>
  </si>
  <si>
    <t>YANHAS</t>
  </si>
  <si>
    <t>CENTRO NACIONAL DE CONSULTORIA</t>
  </si>
  <si>
    <t>PROMEDIO SECTOR</t>
  </si>
  <si>
    <t>Múltiplos</t>
  </si>
  <si>
    <t>PER</t>
  </si>
  <si>
    <t>EV/EBITDA</t>
  </si>
  <si>
    <t>PRICE TO SALES</t>
  </si>
  <si>
    <t>Promedio Sector</t>
  </si>
  <si>
    <t>Precio promedio</t>
  </si>
  <si>
    <t>Precio Valoración</t>
  </si>
  <si>
    <t>Cuentas por Cobrar</t>
  </si>
  <si>
    <t xml:space="preserve">Reservas </t>
  </si>
  <si>
    <t>Revalorizaciones</t>
  </si>
  <si>
    <t>Superávit por Valorizaciones</t>
  </si>
  <si>
    <t>Días proveedores</t>
  </si>
  <si>
    <t>Rotación de proveedores (veces)</t>
  </si>
  <si>
    <t>Tasa efectiva anual</t>
  </si>
  <si>
    <t>Factor de descuento</t>
  </si>
  <si>
    <t>Caja</t>
  </si>
  <si>
    <t>Deuda Financiera</t>
  </si>
  <si>
    <t>FCF EQUITY</t>
  </si>
  <si>
    <t>dd/mm/aa</t>
  </si>
  <si>
    <t>Desvest COLCAP</t>
  </si>
  <si>
    <t>Desviación Relativa (COLCAP/EMBI)</t>
  </si>
  <si>
    <t xml:space="preserve">WACC </t>
  </si>
  <si>
    <t>NIELSEN HOLDINGS</t>
  </si>
  <si>
    <t>IPSOS</t>
  </si>
  <si>
    <t>Multiplo</t>
  </si>
  <si>
    <t>Dupont Patrimonio</t>
  </si>
  <si>
    <t>Márgen Neto</t>
  </si>
  <si>
    <t>Rotación de Patrimonio</t>
  </si>
  <si>
    <t>Márgen Neto x Rotación de Patrimonio</t>
  </si>
  <si>
    <t>Dupont Operativo</t>
  </si>
  <si>
    <t>Márgen Operativo x Rotación de Activos</t>
  </si>
  <si>
    <t>Márgen Operativo</t>
  </si>
  <si>
    <t>Rotación de Activos</t>
  </si>
  <si>
    <t>Rentabilidad Operativa</t>
  </si>
</sst>
</file>

<file path=xl/styles.xml><?xml version="1.0" encoding="utf-8"?>
<styleSheet xmlns="http://schemas.openxmlformats.org/spreadsheetml/2006/main" xmlns:mc="http://schemas.openxmlformats.org/markup-compatibility/2006" xmlns:x14ac="http://schemas.microsoft.com/office/spreadsheetml/2009/9/ac" mc:Ignorable="x14ac">
  <numFmts count="40">
    <numFmt numFmtId="44" formatCode="_(&quot;$&quot;\ * #,##0.00_);_(&quot;$&quot;\ * \(#,##0.00\);_(&quot;$&quot;\ * &quot;-&quot;??_);_(@_)"/>
    <numFmt numFmtId="43" formatCode="_(* #,##0.00_);_(* \(#,##0.00\);_(* &quot;-&quot;??_);_(@_)"/>
    <numFmt numFmtId="164" formatCode="_-* #,##0.00\ &quot;€&quot;_-;\-* #,##0.00\ &quot;€&quot;_-;_-* &quot;-&quot;??\ &quot;€&quot;_-;_-@_-"/>
    <numFmt numFmtId="165" formatCode="&quot;$&quot;#,##0;[Red]\-&quot;$&quot;#,##0"/>
    <numFmt numFmtId="166" formatCode="_-&quot;$&quot;* #,##0_-;\-&quot;$&quot;* #,##0_-;_-&quot;$&quot;* &quot;-&quot;_-;_-@_-"/>
    <numFmt numFmtId="167" formatCode="_-* #,##0_-;\-* #,##0_-;_-* &quot;-&quot;_-;_-@_-"/>
    <numFmt numFmtId="168" formatCode="_-&quot;$&quot;* #,##0.00_-;\-&quot;$&quot;* #,##0.00_-;_-&quot;$&quot;* &quot;-&quot;??_-;_-@_-"/>
    <numFmt numFmtId="169" formatCode="_-* #,##0.00_-;\-* #,##0.00_-;_-* &quot;-&quot;??_-;_-@_-"/>
    <numFmt numFmtId="170" formatCode="_ &quot;$&quot;\ * #,##0.00_ ;_ &quot;$&quot;\ * \-#,##0.00_ ;_ &quot;$&quot;\ * &quot;-&quot;??_ ;_ @_ "/>
    <numFmt numFmtId="171" formatCode="_ * #,##0.00_ ;_ * \-#,##0.00_ ;_ * &quot;-&quot;??_ ;_ @_ "/>
    <numFmt numFmtId="172" formatCode="_(* #,##0_);_(* \(#,##0\);_(* &quot;-&quot;??_);_(@_)"/>
    <numFmt numFmtId="173" formatCode="0.0%"/>
    <numFmt numFmtId="174" formatCode="0.0"/>
    <numFmt numFmtId="175" formatCode="0.000%"/>
    <numFmt numFmtId="176" formatCode="_(* ###,0&quot;.&quot;00_);_(* \(###,0&quot;.&quot;00\);_(* &quot;-&quot;??_);_(@_)"/>
    <numFmt numFmtId="177" formatCode="_([$€]* #,##0.00_);_([$€]* \(#,##0.00\);_([$€]* &quot;-&quot;??_);_(@_)"/>
    <numFmt numFmtId="178" formatCode="&quot;Imporenta&quot;\ 0%"/>
    <numFmt numFmtId="179" formatCode="&quot;Activado&quot;;&quot;Activado&quot;;&quot;Desactivado&quot;"/>
    <numFmt numFmtId="180" formatCode="#,##0.0%_);\(#,##0.0%\)"/>
    <numFmt numFmtId="181" formatCode="#,##0.000_);\(#,##0.000\)"/>
    <numFmt numFmtId="182" formatCode="_(* #,##0.000_);_(* \(#,##0.000\);_(* &quot;-&quot;??_);_(@_)"/>
    <numFmt numFmtId="187" formatCode="_(* #,##0.000000_);_(* \(#,##0.000000\);_(* &quot;-&quot;??_);_(@_)"/>
    <numFmt numFmtId="188" formatCode="0.000"/>
    <numFmt numFmtId="189" formatCode="_(#,##0.00%_);_(\(#,##0.00%\)_);_(#,##0.00%_)"/>
    <numFmt numFmtId="190" formatCode="0.0000"/>
    <numFmt numFmtId="191" formatCode="_(* #,##0.0_);_(* \(#,##0.0\);_(* &quot;-&quot;??_);_(@_)"/>
    <numFmt numFmtId="192" formatCode="\A\ñ\o\ 0"/>
    <numFmt numFmtId="193" formatCode="_ &quot;$&quot;\ * #,##0_ ;_ &quot;$&quot;\ * \-#,##0_ ;_ &quot;$&quot;\ * &quot;-&quot;??_ ;_ @_ "/>
    <numFmt numFmtId="194" formatCode="_ * #,##0_ ;_ * \-#,##0_ ;_ * &quot;-&quot;??_ ;_ @_ "/>
    <numFmt numFmtId="195" formatCode="\A\Ñ\O\ 0"/>
    <numFmt numFmtId="196" formatCode="_ * #,##0.0_ ;_ * \-#,##0.0_ ;_ * &quot;-&quot;??_ ;_ @_ "/>
    <numFmt numFmtId="197" formatCode="_-* #,##0_-;\-* #,##0_-;_-* &quot;-&quot;??_-;_-@_-"/>
    <numFmt numFmtId="198" formatCode="_-[$$-240A]* #,##0.00_-;\-[$$-240A]* #,##0.00_-;_-[$$-240A]* &quot;-&quot;??_-;_-@_-"/>
    <numFmt numFmtId="199" formatCode="_-&quot;$&quot;* #,##0_-;\-&quot;$&quot;* #,##0_-;_-&quot;$&quot;* &quot;-&quot;??_-;_-@_-"/>
    <numFmt numFmtId="200" formatCode="\A\Ñ\O\ 0\ &quot;E&quot;"/>
    <numFmt numFmtId="201" formatCode="#,##0.0_);\(#,##0.0\)"/>
    <numFmt numFmtId="202" formatCode="#,##0.00000"/>
    <numFmt numFmtId="203" formatCode="0_);\(0\)"/>
    <numFmt numFmtId="204" formatCode="#,##0.000"/>
    <numFmt numFmtId="205" formatCode="#,##0.000000"/>
  </numFmts>
  <fonts count="174">
    <font>
      <sz val="11"/>
      <color theme="1"/>
      <name val="Calibri"/>
      <family val="2"/>
      <scheme val="minor"/>
    </font>
    <font>
      <sz val="11"/>
      <color indexed="8"/>
      <name val="Calibri"/>
      <family val="2"/>
    </font>
    <font>
      <sz val="10"/>
      <name val="Arial"/>
      <family val="2"/>
    </font>
    <font>
      <sz val="11"/>
      <color indexed="8"/>
      <name val="Calibri"/>
      <family val="2"/>
    </font>
    <font>
      <sz val="11"/>
      <color indexed="10"/>
      <name val="Calibri"/>
      <family val="2"/>
    </font>
    <font>
      <sz val="8"/>
      <name val="Arial"/>
      <family val="2"/>
    </font>
    <font>
      <sz val="11"/>
      <color indexed="9"/>
      <name val="Calibri"/>
      <family val="2"/>
    </font>
    <font>
      <sz val="11"/>
      <color indexed="17"/>
      <name val="Calibri"/>
      <family val="2"/>
    </font>
    <font>
      <b/>
      <sz val="11"/>
      <color indexed="9"/>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i/>
      <sz val="11"/>
      <color indexed="23"/>
      <name val="Calibri"/>
      <family val="2"/>
    </font>
    <font>
      <b/>
      <sz val="11"/>
      <color indexed="8"/>
      <name val="Calibri"/>
      <family val="2"/>
    </font>
    <font>
      <sz val="10"/>
      <name val="Courier"/>
      <family val="3"/>
    </font>
    <font>
      <b/>
      <sz val="11"/>
      <color indexed="10"/>
      <name val="Calibri"/>
      <family val="2"/>
    </font>
    <font>
      <b/>
      <sz val="11"/>
      <color indexed="62"/>
      <name val="Calibri"/>
      <family val="2"/>
    </font>
    <font>
      <sz val="11"/>
      <color indexed="19"/>
      <name val="Calibri"/>
      <family val="2"/>
    </font>
    <font>
      <b/>
      <sz val="18"/>
      <color indexed="62"/>
      <name val="Cambria"/>
      <family val="2"/>
    </font>
    <font>
      <b/>
      <sz val="15"/>
      <color indexed="62"/>
      <name val="Calibri"/>
      <family val="2"/>
    </font>
    <font>
      <b/>
      <sz val="13"/>
      <color indexed="62"/>
      <name val="Calibri"/>
      <family val="2"/>
    </font>
    <font>
      <sz val="10"/>
      <color indexed="8"/>
      <name val="MS Sans Serif"/>
      <family val="2"/>
    </font>
    <font>
      <b/>
      <sz val="10"/>
      <color indexed="8"/>
      <name val="Draft 12cpi"/>
      <family val="3"/>
    </font>
    <font>
      <sz val="11"/>
      <color indexed="16"/>
      <name val="Calibri"/>
      <family val="2"/>
    </font>
    <font>
      <sz val="12"/>
      <color indexed="8"/>
      <name val="Arial"/>
      <family val="2"/>
    </font>
    <font>
      <sz val="11"/>
      <color indexed="10"/>
      <name val="Verdana"/>
      <family val="2"/>
    </font>
    <font>
      <b/>
      <sz val="12"/>
      <color indexed="8"/>
      <name val="Calibri"/>
      <family val="2"/>
    </font>
    <font>
      <sz val="8"/>
      <color indexed="81"/>
      <name val="Tahoma"/>
      <family val="2"/>
    </font>
    <font>
      <b/>
      <sz val="8"/>
      <color indexed="81"/>
      <name val="Tahoma"/>
      <family val="2"/>
    </font>
    <font>
      <b/>
      <sz val="11"/>
      <name val="Calibri"/>
      <family val="2"/>
    </font>
    <font>
      <sz val="12"/>
      <color indexed="8"/>
      <name val="Calibri"/>
      <family val="2"/>
    </font>
    <font>
      <sz val="8"/>
      <color indexed="8"/>
      <name val="Calibri"/>
      <family val="2"/>
    </font>
    <font>
      <sz val="11"/>
      <color theme="1"/>
      <name val="Calibri"/>
      <family val="2"/>
      <scheme val="minor"/>
    </font>
    <font>
      <u/>
      <sz val="11"/>
      <color theme="10"/>
      <name val="Calibri"/>
      <family val="2"/>
    </font>
    <font>
      <sz val="11"/>
      <color rgb="FF000000"/>
      <name val="Calibri"/>
      <family val="2"/>
      <scheme val="minor"/>
    </font>
    <font>
      <b/>
      <sz val="11"/>
      <color theme="1"/>
      <name val="Calibri"/>
      <family val="2"/>
      <scheme val="minor"/>
    </font>
    <font>
      <sz val="12"/>
      <color theme="1"/>
      <name val="Arial"/>
      <family val="2"/>
    </font>
    <font>
      <b/>
      <sz val="12"/>
      <color theme="1"/>
      <name val="Arial"/>
      <family val="2"/>
    </font>
    <font>
      <sz val="11"/>
      <color theme="4" tint="-0.249977111117893"/>
      <name val="Calibri"/>
      <family val="2"/>
      <scheme val="minor"/>
    </font>
    <font>
      <b/>
      <i/>
      <sz val="11"/>
      <color theme="4" tint="-0.249977111117893"/>
      <name val="Calibri"/>
      <family val="2"/>
      <scheme val="minor"/>
    </font>
    <font>
      <b/>
      <sz val="11"/>
      <name val="Calibri"/>
      <family val="2"/>
      <scheme val="minor"/>
    </font>
    <font>
      <sz val="10"/>
      <color theme="1"/>
      <name val="Calibri"/>
      <family val="2"/>
      <scheme val="minor"/>
    </font>
    <font>
      <b/>
      <i/>
      <sz val="10"/>
      <color theme="1"/>
      <name val="Calibri"/>
      <family val="2"/>
      <scheme val="minor"/>
    </font>
    <font>
      <i/>
      <sz val="10"/>
      <color theme="4" tint="-0.249977111117893"/>
      <name val="Calibri"/>
      <family val="2"/>
      <scheme val="minor"/>
    </font>
    <font>
      <sz val="10"/>
      <color indexed="8"/>
      <name val="Calibri"/>
      <family val="2"/>
      <scheme val="minor"/>
    </font>
    <font>
      <b/>
      <sz val="10"/>
      <color indexed="8"/>
      <name val="Calibri"/>
      <family val="2"/>
      <scheme val="minor"/>
    </font>
    <font>
      <b/>
      <i/>
      <sz val="10"/>
      <name val="Calibri"/>
      <family val="2"/>
      <scheme val="minor"/>
    </font>
    <font>
      <b/>
      <sz val="10"/>
      <name val="Calibri"/>
      <family val="2"/>
      <scheme val="minor"/>
    </font>
    <font>
      <sz val="10"/>
      <color theme="4" tint="-0.249977111117893"/>
      <name val="Calibri"/>
      <family val="2"/>
      <scheme val="minor"/>
    </font>
    <font>
      <sz val="11"/>
      <color rgb="FF969696"/>
      <name val="Arial"/>
      <family val="2"/>
    </font>
    <font>
      <b/>
      <sz val="12"/>
      <color theme="4" tint="-0.249977111117893"/>
      <name val="Arial"/>
      <family val="2"/>
    </font>
    <font>
      <b/>
      <sz val="20"/>
      <color rgb="FFFF0000"/>
      <name val="Times New Roman"/>
      <family val="1"/>
    </font>
    <font>
      <b/>
      <sz val="10"/>
      <color rgb="FF003366"/>
      <name val="Arial"/>
      <family val="2"/>
    </font>
    <font>
      <b/>
      <sz val="10"/>
      <color theme="1"/>
      <name val="Calibri"/>
      <family val="2"/>
      <scheme val="minor"/>
    </font>
    <font>
      <b/>
      <sz val="12"/>
      <color theme="1"/>
      <name val="Calibri"/>
      <family val="2"/>
      <scheme val="minor"/>
    </font>
    <font>
      <sz val="10"/>
      <name val="Calibri"/>
      <family val="2"/>
      <scheme val="minor"/>
    </font>
    <font>
      <sz val="8"/>
      <color rgb="FF000000"/>
      <name val="Arial"/>
      <family val="2"/>
    </font>
    <font>
      <b/>
      <sz val="11"/>
      <color theme="4" tint="-0.249977111117893"/>
      <name val="Calibri"/>
      <family val="2"/>
      <scheme val="minor"/>
    </font>
    <font>
      <i/>
      <sz val="8"/>
      <color theme="1"/>
      <name val="Calibri"/>
      <family val="2"/>
      <scheme val="minor"/>
    </font>
    <font>
      <b/>
      <sz val="8"/>
      <color rgb="FF000000"/>
      <name val="Arial"/>
      <family val="2"/>
    </font>
    <font>
      <sz val="11"/>
      <name val="Calibri"/>
      <family val="2"/>
      <scheme val="minor"/>
    </font>
    <font>
      <sz val="20"/>
      <color theme="3" tint="-0.499984740745262"/>
      <name val="Arial"/>
      <family val="2"/>
    </font>
    <font>
      <b/>
      <sz val="11"/>
      <color rgb="FFFF0000"/>
      <name val="Calibri"/>
      <family val="2"/>
      <scheme val="minor"/>
    </font>
    <font>
      <b/>
      <sz val="10"/>
      <color indexed="8"/>
      <name val="Calibri"/>
      <family val="2"/>
    </font>
    <font>
      <b/>
      <sz val="9"/>
      <name val="Arial"/>
      <family val="2"/>
    </font>
    <font>
      <b/>
      <i/>
      <sz val="9"/>
      <color theme="4" tint="-0.249977111117893"/>
      <name val="Calibri"/>
      <family val="2"/>
      <scheme val="minor"/>
    </font>
    <font>
      <sz val="8"/>
      <color theme="1"/>
      <name val="Calibri"/>
      <family val="2"/>
      <scheme val="minor"/>
    </font>
    <font>
      <b/>
      <i/>
      <sz val="10"/>
      <color theme="4" tint="-0.249977111117893"/>
      <name val="Calibri"/>
      <family val="2"/>
      <scheme val="minor"/>
    </font>
    <font>
      <i/>
      <sz val="11"/>
      <color theme="1"/>
      <name val="Arial"/>
      <family val="2"/>
    </font>
    <font>
      <b/>
      <sz val="9"/>
      <color theme="1"/>
      <name val="Arial"/>
      <family val="2"/>
    </font>
    <font>
      <sz val="9"/>
      <color theme="1"/>
      <name val="Arial"/>
      <family val="2"/>
    </font>
    <font>
      <sz val="9"/>
      <color theme="1"/>
      <name val="Calibri"/>
      <family val="2"/>
      <scheme val="minor"/>
    </font>
    <font>
      <b/>
      <sz val="9"/>
      <color indexed="8"/>
      <name val="Arial"/>
      <family val="2"/>
    </font>
    <font>
      <sz val="9"/>
      <color indexed="8"/>
      <name val="Arial"/>
      <family val="2"/>
    </font>
    <font>
      <sz val="11"/>
      <color indexed="8"/>
      <name val="Arial"/>
      <family val="2"/>
    </font>
    <font>
      <sz val="11"/>
      <color theme="1"/>
      <name val="Calibri"/>
      <family val="2"/>
    </font>
    <font>
      <sz val="11"/>
      <color theme="1"/>
      <name val="Arial"/>
      <family val="2"/>
    </font>
    <font>
      <b/>
      <sz val="11"/>
      <color indexed="8"/>
      <name val="Arial"/>
      <family val="2"/>
    </font>
    <font>
      <b/>
      <sz val="12"/>
      <color indexed="8"/>
      <name val="Arial"/>
      <family val="2"/>
    </font>
    <font>
      <b/>
      <sz val="12"/>
      <name val="Arial"/>
      <family val="2"/>
    </font>
    <font>
      <b/>
      <sz val="11"/>
      <color theme="1"/>
      <name val="Arial"/>
      <family val="2"/>
    </font>
    <font>
      <b/>
      <sz val="11"/>
      <color theme="1"/>
      <name val="Calibri"/>
      <family val="2"/>
    </font>
    <font>
      <sz val="10"/>
      <name val="Tahoma"/>
      <family val="2"/>
    </font>
    <font>
      <b/>
      <sz val="11"/>
      <name val="Arial"/>
      <family val="2"/>
    </font>
    <font>
      <b/>
      <u/>
      <sz val="10"/>
      <name val="Tahoma"/>
      <family val="2"/>
    </font>
    <font>
      <u/>
      <sz val="10"/>
      <name val="Tahoma"/>
      <family val="2"/>
    </font>
    <font>
      <u/>
      <vertAlign val="subscript"/>
      <sz val="10"/>
      <name val="Tahoma"/>
      <family val="2"/>
    </font>
    <font>
      <sz val="11"/>
      <name val="Arial"/>
      <family val="2"/>
    </font>
    <font>
      <sz val="16"/>
      <name val="Tahoma"/>
      <family val="2"/>
    </font>
    <font>
      <vertAlign val="subscript"/>
      <sz val="10"/>
      <name val="Tahoma"/>
      <family val="2"/>
    </font>
    <font>
      <b/>
      <sz val="10"/>
      <color theme="1"/>
      <name val="Arial"/>
      <family val="2"/>
    </font>
    <font>
      <b/>
      <sz val="10"/>
      <name val="Arial"/>
      <family val="2"/>
    </font>
    <font>
      <sz val="10"/>
      <color indexed="8"/>
      <name val="Arial"/>
      <family val="2"/>
    </font>
    <font>
      <b/>
      <sz val="10"/>
      <color indexed="8"/>
      <name val="Arial"/>
      <family val="2"/>
    </font>
    <font>
      <b/>
      <vertAlign val="subscript"/>
      <sz val="10"/>
      <color theme="1"/>
      <name val="Arial"/>
      <family val="2"/>
    </font>
    <font>
      <b/>
      <sz val="9"/>
      <color indexed="81"/>
      <name val="Tahoma"/>
      <family val="2"/>
    </font>
    <font>
      <sz val="9"/>
      <color indexed="81"/>
      <name val="Tahoma"/>
      <family val="2"/>
    </font>
    <font>
      <sz val="10"/>
      <color theme="1"/>
      <name val="Arial"/>
      <family val="2"/>
    </font>
    <font>
      <u/>
      <sz val="11"/>
      <color theme="10"/>
      <name val="Calibri"/>
      <family val="2"/>
      <scheme val="minor"/>
    </font>
    <font>
      <sz val="12"/>
      <color theme="1"/>
      <name val="Times New Roman"/>
      <family val="1"/>
    </font>
    <font>
      <b/>
      <sz val="12"/>
      <color theme="1"/>
      <name val="Times New Roman"/>
      <family val="1"/>
    </font>
    <font>
      <b/>
      <u/>
      <sz val="8"/>
      <name val="Times New Roman"/>
      <family val="1"/>
    </font>
    <font>
      <b/>
      <u/>
      <vertAlign val="subscript"/>
      <sz val="8"/>
      <name val="Times New Roman"/>
      <family val="1"/>
    </font>
    <font>
      <sz val="8"/>
      <color indexed="8"/>
      <name val="Times New Roman"/>
      <family val="1"/>
    </font>
    <font>
      <sz val="8"/>
      <color theme="1"/>
      <name val="Times New Roman"/>
      <family val="1"/>
    </font>
    <font>
      <sz val="8"/>
      <name val="Times New Roman"/>
      <family val="1"/>
    </font>
    <font>
      <b/>
      <sz val="8"/>
      <color theme="1"/>
      <name val="Times New Roman"/>
      <family val="1"/>
    </font>
    <font>
      <b/>
      <sz val="11"/>
      <color theme="1"/>
      <name val="Times New Roman"/>
      <family val="1"/>
    </font>
    <font>
      <sz val="11"/>
      <color theme="1"/>
      <name val="Times New Roman"/>
      <family val="1"/>
    </font>
    <font>
      <sz val="10"/>
      <name val="Verdana"/>
      <family val="2"/>
    </font>
    <font>
      <b/>
      <sz val="10"/>
      <name val="Verdana"/>
      <family val="2"/>
    </font>
    <font>
      <sz val="8"/>
      <color rgb="FF3E3D40"/>
      <name val="Arial"/>
      <family val="2"/>
    </font>
    <font>
      <sz val="11"/>
      <color rgb="FFFF0000"/>
      <name val="Calibri"/>
      <family val="2"/>
      <scheme val="minor"/>
    </font>
    <font>
      <b/>
      <sz val="11"/>
      <color theme="0"/>
      <name val="Calibri"/>
      <family val="2"/>
      <scheme val="minor"/>
    </font>
    <font>
      <sz val="10"/>
      <color theme="1" tint="4.9989318521683403E-2"/>
      <name val="Arial"/>
      <family val="2"/>
    </font>
    <font>
      <sz val="10"/>
      <color rgb="FF000000"/>
      <name val="Arial"/>
      <family val="2"/>
    </font>
    <font>
      <b/>
      <u/>
      <sz val="10"/>
      <color theme="1"/>
      <name val="Calibri"/>
      <family val="2"/>
      <scheme val="minor"/>
    </font>
    <font>
      <b/>
      <sz val="24"/>
      <color theme="1"/>
      <name val="Calibri"/>
      <family val="2"/>
      <scheme val="minor"/>
    </font>
    <font>
      <b/>
      <sz val="11"/>
      <color theme="0"/>
      <name val="Calibri"/>
      <family val="2"/>
    </font>
    <font>
      <i/>
      <sz val="11"/>
      <color theme="1"/>
      <name val="Calibri"/>
      <family val="2"/>
      <scheme val="minor"/>
    </font>
    <font>
      <sz val="20"/>
      <color theme="0"/>
      <name val="Calibri"/>
      <family val="2"/>
      <scheme val="minor"/>
    </font>
    <font>
      <sz val="20"/>
      <color theme="1"/>
      <name val="Calibri"/>
      <family val="2"/>
      <scheme val="minor"/>
    </font>
    <font>
      <b/>
      <sz val="12"/>
      <color theme="0"/>
      <name val="Times New Roman"/>
      <family val="1"/>
    </font>
    <font>
      <b/>
      <sz val="10"/>
      <color theme="0"/>
      <name val="Times New Roman"/>
      <family val="1"/>
    </font>
    <font>
      <sz val="12"/>
      <color rgb="FF000000"/>
      <name val="Times New Roman"/>
      <family val="1"/>
    </font>
    <font>
      <sz val="14"/>
      <color rgb="FF000000"/>
      <name val="Times New Roman"/>
      <family val="1"/>
    </font>
    <font>
      <sz val="12"/>
      <color theme="1"/>
      <name val="Calibri"/>
      <family val="2"/>
      <scheme val="minor"/>
    </font>
    <font>
      <sz val="14"/>
      <color theme="1"/>
      <name val="Calibri"/>
      <family val="2"/>
      <scheme val="minor"/>
    </font>
    <font>
      <b/>
      <sz val="26"/>
      <color theme="0"/>
      <name val="Calibri"/>
      <family val="2"/>
      <scheme val="minor"/>
    </font>
    <font>
      <sz val="10"/>
      <color theme="0"/>
      <name val="Arial"/>
      <family val="2"/>
    </font>
    <font>
      <b/>
      <sz val="11"/>
      <color theme="0"/>
      <name val="Arial"/>
      <family val="2"/>
    </font>
    <font>
      <b/>
      <sz val="10"/>
      <color theme="0"/>
      <name val="Arial"/>
      <family val="2"/>
    </font>
    <font>
      <sz val="9"/>
      <color rgb="FF000000"/>
      <name val="Arial"/>
      <family val="2"/>
    </font>
    <font>
      <i/>
      <sz val="9"/>
      <color rgb="FF000000"/>
      <name val="Arial"/>
      <family val="2"/>
    </font>
    <font>
      <sz val="9"/>
      <color theme="0"/>
      <name val="Arial"/>
      <family val="2"/>
    </font>
    <font>
      <b/>
      <sz val="14"/>
      <color theme="0"/>
      <name val="Arial"/>
      <family val="2"/>
    </font>
    <font>
      <b/>
      <sz val="12"/>
      <color theme="5" tint="-0.499984740745262"/>
      <name val="Arial"/>
      <family val="2"/>
    </font>
    <font>
      <b/>
      <i/>
      <sz val="10"/>
      <name val="Arial"/>
      <family val="2"/>
    </font>
    <font>
      <b/>
      <i/>
      <sz val="11"/>
      <name val="Arial"/>
      <family val="2"/>
    </font>
    <font>
      <b/>
      <sz val="12"/>
      <color theme="0"/>
      <name val="Arial"/>
      <family val="2"/>
    </font>
    <font>
      <b/>
      <i/>
      <u/>
      <sz val="11"/>
      <color theme="0"/>
      <name val="Arial"/>
      <family val="2"/>
    </font>
    <font>
      <sz val="11"/>
      <color theme="0"/>
      <name val="Arial"/>
      <family val="2"/>
    </font>
    <font>
      <b/>
      <sz val="20"/>
      <color theme="0"/>
      <name val="Arial"/>
      <family val="2"/>
    </font>
    <font>
      <b/>
      <i/>
      <sz val="12"/>
      <name val="Arial"/>
      <family val="2"/>
    </font>
    <font>
      <b/>
      <i/>
      <u/>
      <sz val="11"/>
      <name val="Arial"/>
      <family val="2"/>
    </font>
    <font>
      <b/>
      <sz val="16"/>
      <color theme="0"/>
      <name val="Arial"/>
      <family val="2"/>
    </font>
    <font>
      <b/>
      <sz val="18"/>
      <color theme="0"/>
      <name val="Arial"/>
      <family val="2"/>
    </font>
    <font>
      <sz val="9"/>
      <name val="Arial"/>
      <family val="2"/>
    </font>
    <font>
      <b/>
      <sz val="10"/>
      <color rgb="FF002060"/>
      <name val="Arial"/>
      <family val="2"/>
    </font>
    <font>
      <sz val="10"/>
      <color rgb="FFFF0000"/>
      <name val="Arial"/>
      <family val="2"/>
    </font>
    <font>
      <b/>
      <i/>
      <sz val="10"/>
      <color theme="0"/>
      <name val="Arial"/>
      <family val="2"/>
    </font>
    <font>
      <b/>
      <sz val="16"/>
      <color theme="1"/>
      <name val="Calibri"/>
      <family val="2"/>
      <scheme val="minor"/>
    </font>
    <font>
      <sz val="22"/>
      <color theme="1"/>
      <name val="Calibri"/>
      <family val="2"/>
      <scheme val="minor"/>
    </font>
    <font>
      <sz val="48"/>
      <color theme="1"/>
      <name val="Calibri"/>
      <family val="2"/>
      <scheme val="minor"/>
    </font>
    <font>
      <b/>
      <sz val="14"/>
      <name val="Arial"/>
      <family val="2"/>
    </font>
    <font>
      <i/>
      <sz val="10"/>
      <name val="Verdana"/>
      <family val="2"/>
    </font>
    <font>
      <b/>
      <sz val="14"/>
      <color theme="1"/>
      <name val="Calibri"/>
      <family val="2"/>
      <scheme val="minor"/>
    </font>
    <font>
      <b/>
      <i/>
      <sz val="11"/>
      <color theme="1"/>
      <name val="Calibri"/>
      <family val="2"/>
      <scheme val="minor"/>
    </font>
    <font>
      <sz val="11"/>
      <color rgb="FF00B050"/>
      <name val="Calibri"/>
      <family val="2"/>
      <scheme val="minor"/>
    </font>
    <font>
      <b/>
      <sz val="22"/>
      <name val="Arial"/>
      <family val="2"/>
    </font>
    <font>
      <b/>
      <sz val="11"/>
      <color theme="9"/>
      <name val="Calibri"/>
      <family val="2"/>
      <scheme val="minor"/>
    </font>
    <font>
      <b/>
      <sz val="10"/>
      <color rgb="FFFF0000"/>
      <name val="Arial"/>
      <family val="2"/>
    </font>
    <font>
      <b/>
      <sz val="8"/>
      <color rgb="FF3E3D40"/>
      <name val="Arial"/>
      <family val="2"/>
    </font>
    <font>
      <sz val="11"/>
      <color theme="1"/>
      <name val="Symbol"/>
      <family val="1"/>
      <charset val="2"/>
    </font>
    <font>
      <b/>
      <sz val="10"/>
      <color theme="0"/>
      <name val="Century Gothic"/>
      <family val="2"/>
    </font>
    <font>
      <sz val="10"/>
      <name val="Century Gothic"/>
      <family val="2"/>
    </font>
    <font>
      <b/>
      <sz val="10"/>
      <name val="Century Gothic"/>
      <family val="2"/>
    </font>
    <font>
      <b/>
      <sz val="10"/>
      <color rgb="FF008000"/>
      <name val="Century Gothic"/>
      <family val="2"/>
    </font>
    <font>
      <i/>
      <u/>
      <sz val="11"/>
      <color theme="1"/>
      <name val="Calibri"/>
      <family val="2"/>
      <scheme val="minor"/>
    </font>
    <font>
      <b/>
      <sz val="10"/>
      <color theme="0"/>
      <name val="Calibri"/>
      <family val="2"/>
    </font>
    <font>
      <b/>
      <sz val="8"/>
      <color rgb="FF003578"/>
      <name val="Arial"/>
      <family val="2"/>
    </font>
    <font>
      <b/>
      <i/>
      <u/>
      <sz val="11"/>
      <color theme="1"/>
      <name val="Calibri"/>
      <family val="2"/>
      <scheme val="minor"/>
    </font>
    <font>
      <i/>
      <sz val="10"/>
      <color theme="0"/>
      <name val="Calibri"/>
      <family val="2"/>
      <scheme val="minor"/>
    </font>
  </fonts>
  <fills count="59">
    <fill>
      <patternFill patternType="none"/>
    </fill>
    <fill>
      <patternFill patternType="gray125"/>
    </fill>
    <fill>
      <patternFill patternType="solid">
        <fgColor indexed="44"/>
      </patternFill>
    </fill>
    <fill>
      <patternFill patternType="solid">
        <fgColor indexed="45"/>
      </patternFill>
    </fill>
    <fill>
      <patternFill patternType="solid">
        <fgColor indexed="29"/>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43"/>
      </patternFill>
    </fill>
    <fill>
      <patternFill patternType="solid">
        <fgColor indexed="51"/>
      </patternFill>
    </fill>
    <fill>
      <patternFill patternType="solid">
        <fgColor indexed="53"/>
      </patternFill>
    </fill>
    <fill>
      <patternFill patternType="solid">
        <fgColor indexed="49"/>
      </patternFill>
    </fill>
    <fill>
      <patternFill patternType="solid">
        <fgColor indexed="48"/>
        <bgColor indexed="48"/>
      </patternFill>
    </fill>
    <fill>
      <patternFill patternType="solid">
        <fgColor indexed="45"/>
        <bgColor indexed="45"/>
      </patternFill>
    </fill>
    <fill>
      <patternFill patternType="solid">
        <fgColor indexed="9"/>
      </patternFill>
    </fill>
    <fill>
      <patternFill patternType="solid">
        <fgColor indexed="55"/>
      </patternFill>
    </fill>
    <fill>
      <patternFill patternType="solid">
        <fgColor indexed="56"/>
      </patternFill>
    </fill>
    <fill>
      <patternFill patternType="solid">
        <fgColor indexed="10"/>
      </patternFill>
    </fill>
    <fill>
      <patternFill patternType="solid">
        <fgColor indexed="54"/>
      </patternFill>
    </fill>
    <fill>
      <patternFill patternType="solid">
        <fgColor indexed="47"/>
        <bgColor indexed="47"/>
      </patternFill>
    </fill>
    <fill>
      <patternFill patternType="solid">
        <fgColor indexed="43"/>
        <bgColor indexed="64"/>
      </patternFill>
    </fill>
    <fill>
      <patternFill patternType="solid">
        <fgColor indexed="29"/>
        <bgColor indexed="64"/>
      </patternFill>
    </fill>
    <fill>
      <patternFill patternType="solid">
        <fgColor indexed="31"/>
        <bgColor indexed="64"/>
      </patternFill>
    </fill>
    <fill>
      <patternFill patternType="solid">
        <fgColor theme="0"/>
        <bgColor indexed="64"/>
      </patternFill>
    </fill>
    <fill>
      <patternFill patternType="solid">
        <fgColor rgb="FF00B0F0"/>
        <bgColor indexed="64"/>
      </patternFill>
    </fill>
    <fill>
      <patternFill patternType="solid">
        <fgColor theme="4" tint="0.39997558519241921"/>
        <bgColor indexed="64"/>
      </patternFill>
    </fill>
    <fill>
      <patternFill patternType="solid">
        <fgColor rgb="FFFFFFCC"/>
      </patternFill>
    </fill>
    <fill>
      <patternFill patternType="solid">
        <fgColor rgb="FFFFFF00"/>
        <bgColor indexed="64"/>
      </patternFill>
    </fill>
    <fill>
      <patternFill patternType="solid">
        <fgColor rgb="FFCCCCFF"/>
        <bgColor indexed="64"/>
      </patternFill>
    </fill>
    <fill>
      <patternFill patternType="solid">
        <fgColor rgb="FFFFFFFF"/>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E2E1E1"/>
        <bgColor indexed="64"/>
      </patternFill>
    </fill>
    <fill>
      <patternFill patternType="solid">
        <fgColor rgb="FF00206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6"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indexed="9"/>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rgb="FFC00000"/>
        <bgColor indexed="64"/>
      </patternFill>
    </fill>
    <fill>
      <patternFill patternType="solid">
        <fgColor theme="2"/>
        <bgColor indexed="64"/>
      </patternFill>
    </fill>
    <fill>
      <patternFill patternType="solid">
        <fgColor theme="2" tint="-9.9978637043366805E-2"/>
        <bgColor indexed="64"/>
      </patternFill>
    </fill>
    <fill>
      <patternFill patternType="solid">
        <fgColor rgb="FFA6240A"/>
        <bgColor indexed="64"/>
      </patternFill>
    </fill>
    <fill>
      <patternFill patternType="solid">
        <fgColor rgb="FF9BBAD5"/>
        <bgColor indexed="64"/>
      </patternFill>
    </fill>
    <fill>
      <patternFill patternType="solid">
        <fgColor theme="3" tint="0.39997558519241921"/>
        <bgColor indexed="64"/>
      </patternFill>
    </fill>
    <fill>
      <patternFill patternType="solid">
        <fgColor rgb="FF00B050"/>
        <bgColor indexed="64"/>
      </patternFill>
    </fill>
  </fills>
  <borders count="18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medium">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thin">
        <color indexed="64"/>
      </left>
      <right style="double">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top/>
      <bottom style="double">
        <color auto="1"/>
      </bottom>
      <diagonal/>
    </border>
    <border>
      <left style="double">
        <color indexed="64"/>
      </left>
      <right style="thin">
        <color indexed="64"/>
      </right>
      <top/>
      <bottom/>
      <diagonal/>
    </border>
    <border>
      <left style="double">
        <color indexed="64"/>
      </left>
      <right/>
      <top style="double">
        <color indexed="64"/>
      </top>
      <bottom style="medium">
        <color indexed="64"/>
      </bottom>
      <diagonal/>
    </border>
    <border>
      <left/>
      <right/>
      <top/>
      <bottom style="double">
        <color auto="1"/>
      </bottom>
      <diagonal/>
    </border>
    <border>
      <left style="thin">
        <color indexed="64"/>
      </left>
      <right/>
      <top style="double">
        <color indexed="64"/>
      </top>
      <bottom style="thin">
        <color indexed="64"/>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top/>
      <bottom style="double">
        <color auto="1"/>
      </bottom>
      <diagonal/>
    </border>
    <border>
      <left style="thin">
        <color indexed="64"/>
      </left>
      <right/>
      <top style="thin">
        <color indexed="64"/>
      </top>
      <bottom style="double">
        <color indexed="64"/>
      </bottom>
      <diagonal/>
    </border>
    <border>
      <left style="thin">
        <color indexed="64"/>
      </left>
      <right/>
      <top style="double">
        <color indexed="64"/>
      </top>
      <bottom style="medium">
        <color indexed="64"/>
      </bottom>
      <diagonal/>
    </border>
    <border>
      <left style="thin">
        <color indexed="64"/>
      </left>
      <right style="double">
        <color indexed="64"/>
      </right>
      <top style="medium">
        <color indexed="64"/>
      </top>
      <bottom style="thin">
        <color indexed="64"/>
      </bottom>
      <diagonal/>
    </border>
    <border>
      <left/>
      <right style="thin">
        <color indexed="64"/>
      </right>
      <top style="thin">
        <color indexed="64"/>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style="medium">
        <color indexed="64"/>
      </left>
      <right/>
      <top/>
      <bottom style="double">
        <color indexed="64"/>
      </bottom>
      <diagonal/>
    </border>
    <border>
      <left/>
      <right/>
      <top/>
      <bottom style="double">
        <color auto="1"/>
      </bottom>
      <diagonal/>
    </border>
    <border>
      <left/>
      <right style="double">
        <color auto="1"/>
      </right>
      <top/>
      <bottom style="double">
        <color auto="1"/>
      </bottom>
      <diagonal/>
    </border>
    <border>
      <left style="medium">
        <color rgb="FF969594"/>
      </left>
      <right style="medium">
        <color rgb="FF969594"/>
      </right>
      <top style="medium">
        <color rgb="FF969594"/>
      </top>
      <bottom style="medium">
        <color rgb="FF969594"/>
      </bottom>
      <diagonal/>
    </border>
    <border>
      <left style="medium">
        <color indexed="64"/>
      </left>
      <right style="medium">
        <color indexed="64"/>
      </right>
      <top/>
      <bottom style="medium">
        <color indexed="64"/>
      </bottom>
      <diagonal/>
    </border>
    <border>
      <left/>
      <right style="thin">
        <color theme="1"/>
      </right>
      <top/>
      <bottom/>
      <diagonal/>
    </border>
    <border>
      <left/>
      <right style="medium">
        <color theme="1"/>
      </right>
      <top/>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style="medium">
        <color theme="1"/>
      </right>
      <top style="medium">
        <color theme="1"/>
      </top>
      <bottom/>
      <diagonal/>
    </border>
    <border>
      <left style="medium">
        <color theme="1"/>
      </left>
      <right/>
      <top/>
      <bottom/>
      <diagonal/>
    </border>
    <border>
      <left style="medium">
        <color theme="1"/>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style="medium">
        <color theme="1"/>
      </right>
      <top/>
      <bottom style="medium">
        <color theme="1"/>
      </bottom>
      <diagonal/>
    </border>
    <border>
      <left style="double">
        <color auto="1"/>
      </left>
      <right style="thin">
        <color indexed="64"/>
      </right>
      <top style="thin">
        <color indexed="64"/>
      </top>
      <bottom style="medium">
        <color indexed="64"/>
      </bottom>
      <diagonal/>
    </border>
    <border>
      <left style="thin">
        <color indexed="64"/>
      </left>
      <right style="double">
        <color indexed="64"/>
      </right>
      <top/>
      <bottom/>
      <diagonal/>
    </border>
    <border>
      <left style="thin">
        <color indexed="64"/>
      </left>
      <right style="double">
        <color auto="1"/>
      </right>
      <top style="thin">
        <color indexed="64"/>
      </top>
      <bottom style="medium">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theme="1"/>
      </left>
      <right/>
      <top style="medium">
        <color theme="1"/>
      </top>
      <bottom style="medium">
        <color indexed="64"/>
      </bottom>
      <diagonal/>
    </border>
    <border>
      <left style="medium">
        <color theme="1"/>
      </left>
      <right style="medium">
        <color theme="1"/>
      </right>
      <top style="medium">
        <color theme="1"/>
      </top>
      <bottom style="medium">
        <color indexed="64"/>
      </bottom>
      <diagonal/>
    </border>
    <border>
      <left style="medium">
        <color theme="1"/>
      </left>
      <right/>
      <top style="medium">
        <color indexed="64"/>
      </top>
      <bottom style="medium">
        <color indexed="64"/>
      </bottom>
      <diagonal/>
    </border>
    <border>
      <left style="medium">
        <color theme="1"/>
      </left>
      <right style="medium">
        <color theme="1"/>
      </right>
      <top style="medium">
        <color indexed="64"/>
      </top>
      <bottom style="medium">
        <color indexed="64"/>
      </bottom>
      <diagonal/>
    </border>
    <border>
      <left style="medium">
        <color theme="1"/>
      </left>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style="medium">
        <color theme="1"/>
      </right>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style="medium">
        <color theme="1"/>
      </left>
      <right style="medium">
        <color theme="1"/>
      </right>
      <top style="medium">
        <color theme="1"/>
      </top>
      <bottom style="medium">
        <color theme="1"/>
      </bottom>
      <diagonal/>
    </border>
    <border>
      <left/>
      <right/>
      <top style="medium">
        <color theme="1"/>
      </top>
      <bottom/>
      <diagonal/>
    </border>
    <border>
      <left/>
      <right/>
      <top style="medium">
        <color indexed="64"/>
      </top>
      <bottom style="medium">
        <color theme="1"/>
      </bottom>
      <diagonal/>
    </border>
    <border>
      <left/>
      <right/>
      <top/>
      <bottom style="double">
        <color auto="1"/>
      </bottom>
      <diagonal/>
    </border>
    <border>
      <left/>
      <right style="double">
        <color auto="1"/>
      </right>
      <top/>
      <bottom style="double">
        <color auto="1"/>
      </bottom>
      <diagonal/>
    </border>
    <border>
      <left style="medium">
        <color theme="1"/>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thin">
        <color indexed="64"/>
      </left>
      <right style="medium">
        <color theme="1"/>
      </right>
      <top style="medium">
        <color theme="1"/>
      </top>
      <bottom style="medium">
        <color theme="1"/>
      </bottom>
      <diagonal/>
    </border>
    <border>
      <left/>
      <right/>
      <top style="thin">
        <color auto="1"/>
      </top>
      <bottom style="thin">
        <color auto="1"/>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double">
        <color auto="1"/>
      </bottom>
      <diagonal/>
    </border>
    <border>
      <left style="medium">
        <color indexed="64"/>
      </left>
      <right/>
      <top style="thin">
        <color auto="1"/>
      </top>
      <bottom style="double">
        <color auto="1"/>
      </bottom>
      <diagonal/>
    </border>
    <border>
      <left style="medium">
        <color indexed="64"/>
      </left>
      <right/>
      <top style="thin">
        <color auto="1"/>
      </top>
      <bottom style="medium">
        <color indexed="64"/>
      </bottom>
      <diagonal/>
    </border>
    <border>
      <left/>
      <right style="medium">
        <color indexed="64"/>
      </right>
      <top style="thin">
        <color indexed="64"/>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style="thin">
        <color indexed="64"/>
      </top>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thin">
        <color auto="1"/>
      </top>
      <bottom style="thin">
        <color auto="1"/>
      </bottom>
      <diagonal/>
    </border>
    <border>
      <left/>
      <right style="medium">
        <color indexed="64"/>
      </right>
      <top style="thin">
        <color auto="1"/>
      </top>
      <bottom style="thin">
        <color auto="1"/>
      </bottom>
      <diagonal/>
    </border>
    <border>
      <left/>
      <right style="thin">
        <color auto="1"/>
      </right>
      <top style="thin">
        <color auto="1"/>
      </top>
      <bottom/>
      <diagonal/>
    </border>
    <border>
      <left style="medium">
        <color indexed="64"/>
      </left>
      <right/>
      <top style="thin">
        <color indexed="64"/>
      </top>
      <bottom/>
      <diagonal/>
    </border>
    <border>
      <left style="medium">
        <color theme="1"/>
      </left>
      <right style="thin">
        <color indexed="64"/>
      </right>
      <top/>
      <bottom style="thin">
        <color indexed="64"/>
      </bottom>
      <diagonal/>
    </border>
    <border>
      <left style="thin">
        <color indexed="64"/>
      </left>
      <right style="medium">
        <color theme="1"/>
      </right>
      <top/>
      <bottom style="thin">
        <color indexed="64"/>
      </bottom>
      <diagonal/>
    </border>
    <border>
      <left/>
      <right/>
      <top style="thin">
        <color auto="1"/>
      </top>
      <bottom/>
      <diagonal/>
    </border>
    <border>
      <left/>
      <right style="medium">
        <color indexed="64"/>
      </right>
      <top style="thin">
        <color auto="1"/>
      </top>
      <bottom/>
      <diagonal/>
    </border>
    <border>
      <left/>
      <right/>
      <top/>
      <bottom style="double">
        <color auto="1"/>
      </bottom>
      <diagonal/>
    </border>
    <border>
      <left/>
      <right style="thin">
        <color indexed="64"/>
      </right>
      <top/>
      <bottom style="double">
        <color auto="1"/>
      </bottom>
      <diagonal/>
    </border>
    <border>
      <left style="medium">
        <color rgb="FF969594"/>
      </left>
      <right style="medium">
        <color rgb="FF969594"/>
      </right>
      <top style="medium">
        <color rgb="FF969594"/>
      </top>
      <bottom/>
      <diagonal/>
    </border>
    <border>
      <left/>
      <right style="thin">
        <color auto="1"/>
      </right>
      <top style="thin">
        <color auto="1"/>
      </top>
      <bottom/>
      <diagonal/>
    </border>
  </borders>
  <cellStyleXfs count="101">
    <xf numFmtId="0" fontId="0" fillId="0" borderId="0"/>
    <xf numFmtId="0" fontId="3" fillId="2"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3" borderId="0" applyNumberFormat="0" applyBorder="0" applyAlignment="0" applyProtection="0"/>
    <xf numFmtId="0" fontId="6" fillId="8" borderId="0" applyNumberFormat="0" applyBorder="0" applyAlignment="0" applyProtection="0"/>
    <xf numFmtId="0" fontId="6" fillId="4" borderId="0" applyNumberFormat="0" applyBorder="0" applyAlignment="0" applyProtection="0"/>
    <xf numFmtId="0" fontId="6" fillId="13" borderId="0" applyNumberFormat="0" applyBorder="0" applyAlignment="0" applyProtection="0"/>
    <xf numFmtId="0" fontId="24" fillId="14" borderId="0" applyNumberFormat="0" applyBorder="0" applyAlignment="0" applyProtection="0"/>
    <xf numFmtId="0" fontId="7" fillId="8" borderId="0" applyNumberFormat="0" applyBorder="0" applyAlignment="0" applyProtection="0"/>
    <xf numFmtId="0" fontId="16" fillId="15" borderId="1" applyNumberFormat="0" applyAlignment="0" applyProtection="0"/>
    <xf numFmtId="0" fontId="8" fillId="16" borderId="2" applyNumberFormat="0" applyAlignment="0" applyProtection="0"/>
    <xf numFmtId="0" fontId="4" fillId="0" borderId="3" applyNumberFormat="0" applyFill="0" applyAlignment="0" applyProtection="0"/>
    <xf numFmtId="171" fontId="2" fillId="0" borderId="0" applyFont="0" applyFill="0" applyBorder="0" applyAlignment="0" applyProtection="0"/>
    <xf numFmtId="0" fontId="17" fillId="0" borderId="0" applyNumberFormat="0" applyFill="0" applyBorder="0" applyAlignment="0" applyProtection="0"/>
    <xf numFmtId="0" fontId="6" fillId="17"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19" borderId="0" applyNumberFormat="0" applyBorder="0" applyAlignment="0" applyProtection="0"/>
    <xf numFmtId="0" fontId="6" fillId="12" borderId="0" applyNumberFormat="0" applyBorder="0" applyAlignment="0" applyProtection="0"/>
    <xf numFmtId="0" fontId="6" fillId="18" borderId="0" applyNumberFormat="0" applyBorder="0" applyAlignment="0" applyProtection="0"/>
    <xf numFmtId="0" fontId="9" fillId="9" borderId="1" applyNumberFormat="0" applyAlignment="0" applyProtection="0"/>
    <xf numFmtId="177" fontId="15" fillId="0" borderId="0" applyFont="0" applyFill="0" applyBorder="0" applyAlignment="0" applyProtection="0"/>
    <xf numFmtId="0" fontId="34" fillId="0" borderId="0" applyNumberFormat="0" applyFill="0" applyBorder="0" applyAlignment="0" applyProtection="0">
      <alignment vertical="top"/>
      <protection locked="0"/>
    </xf>
    <xf numFmtId="0" fontId="10" fillId="6" borderId="0" applyNumberFormat="0" applyBorder="0" applyAlignment="0" applyProtection="0"/>
    <xf numFmtId="43" fontId="3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43" fontId="23" fillId="0" borderId="0" applyFont="0" applyFill="0" applyBorder="0" applyAlignment="0" applyProtection="0"/>
    <xf numFmtId="176" fontId="2" fillId="0" borderId="0" applyFont="0" applyFill="0" applyBorder="0" applyAlignment="0" applyProtection="0"/>
    <xf numFmtId="0" fontId="11" fillId="20" borderId="0" applyNumberFormat="0" applyBorder="0" applyAlignment="0" applyProtection="0"/>
    <xf numFmtId="0" fontId="18" fillId="9" borderId="0" applyNumberFormat="0" applyBorder="0" applyAlignment="0" applyProtection="0"/>
    <xf numFmtId="0" fontId="33" fillId="0" borderId="0"/>
    <xf numFmtId="0" fontId="2" fillId="0" borderId="0"/>
    <xf numFmtId="0" fontId="2" fillId="0" borderId="0"/>
    <xf numFmtId="0" fontId="33" fillId="0" borderId="0"/>
    <xf numFmtId="0" fontId="35" fillId="0" borderId="0"/>
    <xf numFmtId="0" fontId="22" fillId="0" borderId="0"/>
    <xf numFmtId="0" fontId="22" fillId="0" borderId="0"/>
    <xf numFmtId="0" fontId="22" fillId="0" borderId="0"/>
    <xf numFmtId="0" fontId="2" fillId="0" borderId="0"/>
    <xf numFmtId="0" fontId="2" fillId="0" borderId="0"/>
    <xf numFmtId="0" fontId="2" fillId="5" borderId="4" applyNumberFormat="0" applyFont="0" applyAlignment="0" applyProtection="0"/>
    <xf numFmtId="9" fontId="33" fillId="0" borderId="0" applyFont="0" applyFill="0" applyBorder="0" applyAlignment="0" applyProtection="0"/>
    <xf numFmtId="9" fontId="2" fillId="0" borderId="0" applyFont="0" applyFill="0" applyBorder="0" applyAlignment="0" applyProtection="0"/>
    <xf numFmtId="0" fontId="12" fillId="15" borderId="5" applyNumberFormat="0" applyAlignment="0" applyProtection="0"/>
    <xf numFmtId="4" fontId="5" fillId="9" borderId="6" applyNumberFormat="0" applyProtection="0">
      <alignment vertical="center"/>
    </xf>
    <xf numFmtId="4" fontId="5" fillId="21" borderId="6" applyNumberFormat="0" applyProtection="0">
      <alignment horizontal="left" vertical="center" indent="1"/>
    </xf>
    <xf numFmtId="4" fontId="5" fillId="12" borderId="6" applyNumberFormat="0" applyProtection="0">
      <alignment horizontal="left" vertical="center" indent="1"/>
    </xf>
    <xf numFmtId="4" fontId="5" fillId="0" borderId="6" applyNumberFormat="0" applyProtection="0">
      <alignment horizontal="right" vertical="center"/>
    </xf>
    <xf numFmtId="4" fontId="5" fillId="12" borderId="6" applyNumberFormat="0" applyProtection="0">
      <alignment horizontal="left" vertical="center" indent="1"/>
    </xf>
    <xf numFmtId="0" fontId="4" fillId="0" borderId="0" applyNumberFormat="0" applyFill="0" applyBorder="0" applyAlignment="0" applyProtection="0"/>
    <xf numFmtId="0" fontId="13" fillId="0" borderId="0" applyNumberFormat="0" applyFill="0" applyBorder="0" applyAlignment="0" applyProtection="0"/>
    <xf numFmtId="0" fontId="20" fillId="0" borderId="7" applyNumberFormat="0" applyFill="0" applyAlignment="0" applyProtection="0"/>
    <xf numFmtId="0" fontId="21" fillId="0" borderId="8" applyNumberFormat="0" applyFill="0" applyAlignment="0" applyProtection="0"/>
    <xf numFmtId="0" fontId="17" fillId="0" borderId="9" applyNumberFormat="0" applyFill="0" applyAlignment="0" applyProtection="0"/>
    <xf numFmtId="0" fontId="19" fillId="0" borderId="0" applyNumberFormat="0" applyFill="0" applyBorder="0" applyAlignment="0" applyProtection="0"/>
    <xf numFmtId="0" fontId="14" fillId="0" borderId="10" applyNumberFormat="0" applyFill="0" applyAlignment="0" applyProtection="0"/>
    <xf numFmtId="9" fontId="1" fillId="0" borderId="0" applyFont="0" applyFill="0" applyBorder="0" applyAlignment="0" applyProtection="0"/>
    <xf numFmtId="43" fontId="1" fillId="0" borderId="0" applyFont="0" applyFill="0" applyBorder="0" applyAlignment="0" applyProtection="0"/>
    <xf numFmtId="37" fontId="2" fillId="0" borderId="0"/>
    <xf numFmtId="179" fontId="2" fillId="0" borderId="0"/>
    <xf numFmtId="0" fontId="2" fillId="0" borderId="0"/>
    <xf numFmtId="0" fontId="99" fillId="0" borderId="0" applyNumberFormat="0" applyFill="0" applyBorder="0" applyAlignment="0" applyProtection="0"/>
    <xf numFmtId="171" fontId="2" fillId="0" borderId="0" applyFont="0" applyFill="0" applyBorder="0" applyAlignment="0" applyProtection="0"/>
    <xf numFmtId="43" fontId="33" fillId="0" borderId="0" applyFont="0" applyFill="0" applyBorder="0" applyAlignment="0" applyProtection="0"/>
    <xf numFmtId="3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44" fontId="1" fillId="0" borderId="0" applyFont="0" applyFill="0" applyBorder="0" applyAlignment="0" applyProtection="0"/>
    <xf numFmtId="44" fontId="33" fillId="0" borderId="0" applyFont="0" applyFill="0" applyBorder="0" applyAlignment="0" applyProtection="0"/>
    <xf numFmtId="170" fontId="2" fillId="0" borderId="0" applyFont="0" applyFill="0" applyBorder="0" applyAlignment="0" applyProtection="0"/>
    <xf numFmtId="44" fontId="2" fillId="0" borderId="0" applyFont="0" applyFill="0" applyBorder="0" applyAlignment="0" applyProtection="0"/>
    <xf numFmtId="0" fontId="2" fillId="0" borderId="0" applyNumberFormat="0" applyFont="0" applyFill="0" applyBorder="0" applyAlignment="0" applyProtection="0"/>
    <xf numFmtId="0" fontId="33" fillId="27" borderId="90" applyNumberFormat="0" applyFont="0" applyAlignment="0" applyProtection="0"/>
    <xf numFmtId="0" fontId="33" fillId="27" borderId="90" applyNumberFormat="0" applyFont="0" applyAlignment="0" applyProtection="0"/>
    <xf numFmtId="0" fontId="33" fillId="27" borderId="90" applyNumberFormat="0" applyFont="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xf numFmtId="0" fontId="33" fillId="0" borderId="0"/>
    <xf numFmtId="0" fontId="1" fillId="0" borderId="0"/>
    <xf numFmtId="164" fontId="33" fillId="0" borderId="0" applyFont="0" applyFill="0" applyBorder="0" applyAlignment="0" applyProtection="0"/>
    <xf numFmtId="168" fontId="33" fillId="0" borderId="0" applyFont="0" applyFill="0" applyBorder="0" applyAlignment="0" applyProtection="0"/>
    <xf numFmtId="166" fontId="33" fillId="0" borderId="0" applyFont="0" applyFill="0" applyBorder="0" applyAlignment="0" applyProtection="0"/>
    <xf numFmtId="167" fontId="33" fillId="0" borderId="0" applyFont="0" applyFill="0" applyBorder="0" applyAlignment="0" applyProtection="0"/>
  </cellStyleXfs>
  <cellXfs count="1680">
    <xf numFmtId="0" fontId="0" fillId="0" borderId="0" xfId="0"/>
    <xf numFmtId="0" fontId="37" fillId="24" borderId="0" xfId="0" applyFont="1" applyFill="1"/>
    <xf numFmtId="9" fontId="33" fillId="24" borderId="11" xfId="55" applyFont="1" applyFill="1" applyBorder="1"/>
    <xf numFmtId="0" fontId="0" fillId="24" borderId="0" xfId="0" applyFill="1" applyBorder="1"/>
    <xf numFmtId="0" fontId="36" fillId="24" borderId="0" xfId="0" applyFont="1" applyFill="1" applyBorder="1"/>
    <xf numFmtId="9" fontId="33" fillId="24" borderId="0" xfId="55" applyFont="1" applyFill="1" applyBorder="1"/>
    <xf numFmtId="0" fontId="37" fillId="24" borderId="0" xfId="0" applyFont="1" applyFill="1"/>
    <xf numFmtId="173" fontId="33" fillId="24" borderId="0" xfId="55" applyNumberFormat="1" applyFont="1" applyFill="1" applyBorder="1"/>
    <xf numFmtId="43" fontId="0" fillId="24" borderId="0" xfId="0" applyNumberFormat="1" applyFill="1" applyBorder="1"/>
    <xf numFmtId="173" fontId="0" fillId="24" borderId="0" xfId="0" applyNumberFormat="1" applyFill="1" applyBorder="1"/>
    <xf numFmtId="1" fontId="0" fillId="24" borderId="0" xfId="0" applyNumberFormat="1" applyFill="1" applyBorder="1"/>
    <xf numFmtId="3" fontId="0" fillId="24" borderId="0" xfId="0" applyNumberFormat="1" applyFill="1" applyBorder="1"/>
    <xf numFmtId="0" fontId="0" fillId="24" borderId="0" xfId="0" applyFont="1" applyFill="1" applyProtection="1">
      <protection hidden="1"/>
    </xf>
    <xf numFmtId="38" fontId="0" fillId="24" borderId="0" xfId="0" applyNumberFormat="1" applyFont="1" applyFill="1" applyBorder="1" applyProtection="1">
      <protection hidden="1"/>
    </xf>
    <xf numFmtId="40" fontId="0" fillId="0" borderId="14" xfId="0" applyNumberFormat="1" applyFont="1" applyFill="1" applyBorder="1" applyAlignment="1" applyProtection="1">
      <alignment horizontal="center" vertical="center"/>
      <protection hidden="1"/>
    </xf>
    <xf numFmtId="40" fontId="0" fillId="0" borderId="15" xfId="0" applyNumberFormat="1" applyFont="1" applyFill="1" applyBorder="1" applyAlignment="1" applyProtection="1">
      <alignment horizontal="center" vertical="center"/>
      <protection hidden="1"/>
    </xf>
    <xf numFmtId="0" fontId="0" fillId="0" borderId="0" xfId="0"/>
    <xf numFmtId="0" fontId="36" fillId="0" borderId="0" xfId="0" applyFont="1"/>
    <xf numFmtId="0" fontId="0" fillId="0" borderId="0" xfId="0" applyFont="1" applyFill="1" applyBorder="1" applyProtection="1">
      <protection hidden="1"/>
    </xf>
    <xf numFmtId="0" fontId="0" fillId="0" borderId="0" xfId="0" applyFont="1"/>
    <xf numFmtId="0" fontId="37" fillId="24" borderId="0" xfId="0" applyFont="1" applyFill="1" applyAlignment="1"/>
    <xf numFmtId="0" fontId="0" fillId="24" borderId="0" xfId="0" applyFill="1"/>
    <xf numFmtId="174" fontId="0" fillId="24" borderId="0" xfId="0" applyNumberFormat="1" applyFill="1" applyBorder="1"/>
    <xf numFmtId="173" fontId="0" fillId="24" borderId="0" xfId="0" applyNumberFormat="1" applyFill="1" applyBorder="1" applyAlignment="1">
      <alignment vertical="center"/>
    </xf>
    <xf numFmtId="174" fontId="0" fillId="24" borderId="0" xfId="0" applyNumberFormat="1" applyFill="1" applyBorder="1" applyAlignment="1">
      <alignment horizontal="center" vertical="center"/>
    </xf>
    <xf numFmtId="174" fontId="0" fillId="25" borderId="0" xfId="0" applyNumberFormat="1" applyFill="1" applyBorder="1"/>
    <xf numFmtId="173" fontId="0" fillId="25" borderId="0" xfId="0" applyNumberFormat="1" applyFill="1" applyBorder="1"/>
    <xf numFmtId="0" fontId="0" fillId="25" borderId="16" xfId="0" applyFill="1" applyBorder="1"/>
    <xf numFmtId="0" fontId="0" fillId="25" borderId="17" xfId="0" applyFill="1" applyBorder="1"/>
    <xf numFmtId="0" fontId="0" fillId="25" borderId="19" xfId="0" applyFill="1" applyBorder="1"/>
    <xf numFmtId="0" fontId="0" fillId="25" borderId="0" xfId="0" applyFill="1" applyBorder="1"/>
    <xf numFmtId="1" fontId="0" fillId="25" borderId="0" xfId="0" applyNumberFormat="1" applyFill="1" applyBorder="1"/>
    <xf numFmtId="2" fontId="0" fillId="25" borderId="0" xfId="0" applyNumberFormat="1" applyFill="1" applyBorder="1"/>
    <xf numFmtId="3" fontId="0" fillId="24" borderId="12" xfId="0" applyNumberFormat="1" applyFill="1" applyBorder="1"/>
    <xf numFmtId="3" fontId="0" fillId="24" borderId="17" xfId="0" applyNumberFormat="1" applyFill="1" applyBorder="1"/>
    <xf numFmtId="173" fontId="33" fillId="24" borderId="21" xfId="55" applyNumberFormat="1" applyFont="1" applyFill="1" applyBorder="1" applyAlignment="1" applyProtection="1">
      <alignment horizontal="center" vertical="center"/>
      <protection hidden="1"/>
    </xf>
    <xf numFmtId="173" fontId="39" fillId="24" borderId="15" xfId="55" applyNumberFormat="1" applyFont="1" applyFill="1" applyBorder="1" applyAlignment="1" applyProtection="1">
      <alignment horizontal="center" vertical="center"/>
      <protection hidden="1"/>
    </xf>
    <xf numFmtId="0" fontId="0" fillId="0" borderId="0" xfId="0"/>
    <xf numFmtId="10" fontId="33" fillId="24" borderId="0" xfId="55" applyNumberFormat="1"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24" xfId="0" applyFont="1" applyFill="1" applyBorder="1" applyAlignment="1">
      <alignment horizontal="center" vertical="center"/>
    </xf>
    <xf numFmtId="0" fontId="0" fillId="0" borderId="0" xfId="0" applyNumberFormat="1"/>
    <xf numFmtId="0" fontId="33" fillId="0" borderId="0" xfId="37" applyNumberFormat="1" applyFont="1"/>
    <xf numFmtId="0" fontId="36" fillId="0" borderId="0" xfId="0" applyFont="1" applyAlignment="1">
      <alignment horizontal="center"/>
    </xf>
    <xf numFmtId="0" fontId="0" fillId="0" borderId="0" xfId="0"/>
    <xf numFmtId="0" fontId="36" fillId="24" borderId="0" xfId="0" applyFont="1" applyFill="1" applyBorder="1" applyAlignment="1">
      <alignment horizontal="center" vertical="center"/>
    </xf>
    <xf numFmtId="3" fontId="0" fillId="24" borderId="0" xfId="0" applyNumberFormat="1" applyFill="1" applyBorder="1" applyAlignment="1">
      <alignment horizontal="right" vertical="center"/>
    </xf>
    <xf numFmtId="3" fontId="33" fillId="24" borderId="25" xfId="37" applyNumberFormat="1" applyFont="1" applyFill="1" applyBorder="1" applyAlignment="1">
      <alignment horizontal="right" vertical="center"/>
    </xf>
    <xf numFmtId="3" fontId="33" fillId="24" borderId="26" xfId="37" applyNumberFormat="1" applyFont="1" applyFill="1" applyBorder="1" applyAlignment="1">
      <alignment horizontal="right" vertical="center"/>
    </xf>
    <xf numFmtId="3" fontId="33" fillId="24" borderId="27" xfId="37" applyNumberFormat="1" applyFont="1" applyFill="1" applyBorder="1" applyAlignment="1">
      <alignment horizontal="right" vertical="center"/>
    </xf>
    <xf numFmtId="3" fontId="33" fillId="24" borderId="28" xfId="37" applyNumberFormat="1" applyFont="1" applyFill="1" applyBorder="1" applyAlignment="1">
      <alignment horizontal="right" vertical="center"/>
    </xf>
    <xf numFmtId="3" fontId="33" fillId="24" borderId="29" xfId="37" applyNumberFormat="1" applyFont="1" applyFill="1" applyBorder="1" applyAlignment="1">
      <alignment horizontal="right" vertical="center"/>
    </xf>
    <xf numFmtId="3" fontId="33" fillId="24" borderId="11" xfId="37" applyNumberFormat="1" applyFont="1" applyFill="1" applyBorder="1" applyAlignment="1">
      <alignment horizontal="right" vertical="center"/>
    </xf>
    <xf numFmtId="3" fontId="33" fillId="24" borderId="30" xfId="37" applyNumberFormat="1" applyFont="1" applyFill="1" applyBorder="1" applyAlignment="1">
      <alignment horizontal="right" vertical="center"/>
    </xf>
    <xf numFmtId="3" fontId="0" fillId="24" borderId="14" xfId="0" applyNumberFormat="1" applyFill="1" applyBorder="1" applyAlignment="1">
      <alignment horizontal="right" vertical="center"/>
    </xf>
    <xf numFmtId="3" fontId="0" fillId="24" borderId="31" xfId="0" applyNumberFormat="1" applyFill="1" applyBorder="1" applyAlignment="1">
      <alignment horizontal="right" vertical="center"/>
    </xf>
    <xf numFmtId="3" fontId="0" fillId="24" borderId="13" xfId="0" applyNumberFormat="1" applyFont="1" applyFill="1" applyBorder="1" applyAlignment="1">
      <alignment horizontal="right" vertical="center"/>
    </xf>
    <xf numFmtId="3" fontId="0" fillId="24" borderId="32" xfId="0" applyNumberFormat="1" applyFont="1" applyFill="1" applyBorder="1" applyAlignment="1">
      <alignment horizontal="right" vertical="center"/>
    </xf>
    <xf numFmtId="3" fontId="0" fillId="0" borderId="13" xfId="0" applyNumberFormat="1" applyBorder="1" applyAlignment="1">
      <alignment horizontal="right" vertical="center"/>
    </xf>
    <xf numFmtId="3" fontId="0" fillId="0" borderId="32" xfId="0" applyNumberFormat="1" applyBorder="1" applyAlignment="1">
      <alignment horizontal="right" vertical="center"/>
    </xf>
    <xf numFmtId="3" fontId="0" fillId="24" borderId="28" xfId="0" applyNumberFormat="1" applyFill="1" applyBorder="1" applyAlignment="1">
      <alignment horizontal="right" vertical="center"/>
    </xf>
    <xf numFmtId="3" fontId="0" fillId="24" borderId="11" xfId="0" applyNumberFormat="1" applyFill="1" applyBorder="1" applyAlignment="1">
      <alignment horizontal="right" vertical="center"/>
    </xf>
    <xf numFmtId="3" fontId="0" fillId="0" borderId="0" xfId="0" applyNumberFormat="1"/>
    <xf numFmtId="0" fontId="36" fillId="0" borderId="0" xfId="0" applyFont="1" applyAlignment="1">
      <alignment horizontal="center"/>
    </xf>
    <xf numFmtId="0" fontId="0" fillId="0" borderId="0" xfId="0"/>
    <xf numFmtId="173" fontId="33" fillId="24" borderId="0" xfId="55" applyNumberFormat="1" applyFont="1" applyFill="1" applyBorder="1" applyAlignment="1">
      <alignment horizontal="center" vertical="center"/>
    </xf>
    <xf numFmtId="3" fontId="0" fillId="24" borderId="13" xfId="0" applyNumberFormat="1" applyFill="1" applyBorder="1"/>
    <xf numFmtId="0" fontId="0" fillId="24" borderId="35" xfId="0" applyFill="1" applyBorder="1"/>
    <xf numFmtId="0" fontId="0" fillId="24" borderId="36" xfId="0" applyFill="1" applyBorder="1"/>
    <xf numFmtId="3" fontId="33" fillId="0" borderId="37" xfId="37" applyNumberFormat="1" applyFont="1" applyBorder="1"/>
    <xf numFmtId="3" fontId="36" fillId="0" borderId="0" xfId="0" applyNumberFormat="1" applyFont="1"/>
    <xf numFmtId="49" fontId="36" fillId="24" borderId="0" xfId="37" applyNumberFormat="1" applyFont="1" applyFill="1" applyBorder="1" applyAlignment="1">
      <alignment horizontal="center" vertical="center" wrapText="1"/>
    </xf>
    <xf numFmtId="49" fontId="41" fillId="24" borderId="0" xfId="37" applyNumberFormat="1" applyFont="1" applyFill="1" applyBorder="1" applyAlignment="1">
      <alignment horizontal="center" vertical="center" wrapText="1"/>
    </xf>
    <xf numFmtId="49" fontId="36" fillId="24" borderId="0" xfId="37" applyNumberFormat="1" applyFont="1" applyFill="1" applyBorder="1" applyAlignment="1">
      <alignment horizontal="center" wrapText="1"/>
    </xf>
    <xf numFmtId="0" fontId="42" fillId="0" borderId="13" xfId="0" applyFont="1" applyBorder="1" applyAlignment="1">
      <alignment wrapText="1"/>
    </xf>
    <xf numFmtId="0" fontId="42" fillId="0" borderId="27" xfId="0" applyFont="1" applyBorder="1" applyAlignment="1">
      <alignment wrapText="1"/>
    </xf>
    <xf numFmtId="0" fontId="43" fillId="0" borderId="39" xfId="0" applyFont="1" applyFill="1" applyBorder="1" applyAlignment="1">
      <alignment horizontal="left" vertical="center" wrapText="1"/>
    </xf>
    <xf numFmtId="0" fontId="0" fillId="0" borderId="24" xfId="0" applyBorder="1"/>
    <xf numFmtId="0" fontId="0" fillId="0" borderId="32" xfId="0" applyBorder="1"/>
    <xf numFmtId="3" fontId="0" fillId="0" borderId="0" xfId="0" applyNumberFormat="1" applyFont="1"/>
    <xf numFmtId="0" fontId="44" fillId="0" borderId="0" xfId="50" applyFont="1" applyAlignment="1">
      <alignment horizontal="left"/>
    </xf>
    <xf numFmtId="0" fontId="45" fillId="0" borderId="0" xfId="50" applyFont="1"/>
    <xf numFmtId="3" fontId="45" fillId="0" borderId="27" xfId="50" applyNumberFormat="1" applyFont="1" applyBorder="1"/>
    <xf numFmtId="3" fontId="45" fillId="0" borderId="13" xfId="50" applyNumberFormat="1" applyFont="1" applyBorder="1"/>
    <xf numFmtId="3" fontId="46" fillId="0" borderId="13" xfId="50" applyNumberFormat="1" applyFont="1" applyBorder="1"/>
    <xf numFmtId="0" fontId="47" fillId="0" borderId="39" xfId="50" applyFont="1" applyFill="1" applyBorder="1" applyAlignment="1">
      <alignment horizontal="left" vertical="center" wrapText="1"/>
    </xf>
    <xf numFmtId="0" fontId="42" fillId="0" borderId="0" xfId="0" applyFont="1"/>
    <xf numFmtId="0" fontId="44" fillId="0" borderId="0" xfId="0" applyFont="1"/>
    <xf numFmtId="17" fontId="44" fillId="0" borderId="0" xfId="50" applyNumberFormat="1" applyFont="1" applyAlignment="1">
      <alignment horizontal="left" vertical="center" wrapText="1"/>
    </xf>
    <xf numFmtId="0" fontId="45" fillId="0" borderId="0" xfId="50" applyFont="1" applyAlignment="1">
      <alignment horizontal="center" vertical="center" wrapText="1"/>
    </xf>
    <xf numFmtId="0" fontId="45" fillId="0" borderId="0" xfId="50" applyFont="1" applyAlignment="1">
      <alignment horizontal="left" vertical="center" wrapText="1"/>
    </xf>
    <xf numFmtId="0" fontId="42" fillId="0" borderId="0" xfId="37" applyNumberFormat="1" applyFont="1"/>
    <xf numFmtId="0" fontId="42" fillId="0" borderId="0" xfId="0" applyNumberFormat="1" applyFont="1"/>
    <xf numFmtId="10" fontId="33" fillId="24" borderId="0" xfId="55" applyNumberFormat="1" applyFont="1" applyFill="1" applyBorder="1"/>
    <xf numFmtId="0" fontId="36" fillId="0" borderId="0" xfId="0" applyFont="1" applyAlignment="1">
      <alignment horizontal="center"/>
    </xf>
    <xf numFmtId="0" fontId="51" fillId="24" borderId="0" xfId="0" applyFont="1" applyFill="1" applyBorder="1" applyAlignment="1" applyProtection="1">
      <alignment horizontal="left" vertical="center"/>
      <protection hidden="1"/>
    </xf>
    <xf numFmtId="0" fontId="52" fillId="24" borderId="0" xfId="0" applyFont="1" applyFill="1" applyBorder="1" applyAlignment="1" applyProtection="1">
      <alignment horizontal="centerContinuous" vertical="center"/>
      <protection hidden="1"/>
    </xf>
    <xf numFmtId="0" fontId="0" fillId="24" borderId="0" xfId="0" applyFill="1" applyAlignment="1">
      <alignment horizontal="center" vertical="center"/>
    </xf>
    <xf numFmtId="2" fontId="0" fillId="24" borderId="35" xfId="0" applyNumberFormat="1" applyFill="1" applyBorder="1" applyAlignment="1">
      <alignment horizontal="left" vertical="center"/>
    </xf>
    <xf numFmtId="38" fontId="53" fillId="24" borderId="41" xfId="0" applyNumberFormat="1" applyFont="1" applyFill="1" applyBorder="1" applyAlignment="1" applyProtection="1">
      <alignment horizontal="center" vertical="center"/>
      <protection hidden="1"/>
    </xf>
    <xf numFmtId="38" fontId="53" fillId="24" borderId="42" xfId="0" applyNumberFormat="1" applyFont="1" applyFill="1" applyBorder="1" applyAlignment="1" applyProtection="1">
      <alignment horizontal="center" vertical="center"/>
      <protection hidden="1"/>
    </xf>
    <xf numFmtId="0" fontId="0" fillId="24" borderId="36" xfId="0" applyFill="1" applyBorder="1" applyAlignment="1">
      <alignment horizontal="left" vertical="center"/>
    </xf>
    <xf numFmtId="2" fontId="0" fillId="24" borderId="36" xfId="0" applyNumberFormat="1" applyFill="1" applyBorder="1" applyAlignment="1">
      <alignment horizontal="left" vertical="center"/>
    </xf>
    <xf numFmtId="0" fontId="0" fillId="24" borderId="0" xfId="0" applyFill="1" applyAlignment="1">
      <alignment vertical="center" wrapText="1"/>
    </xf>
    <xf numFmtId="0" fontId="0" fillId="24" borderId="0" xfId="0" applyFill="1" applyAlignment="1">
      <alignment vertical="center"/>
    </xf>
    <xf numFmtId="0" fontId="36" fillId="24" borderId="0" xfId="0" applyFont="1" applyFill="1"/>
    <xf numFmtId="43" fontId="31" fillId="24" borderId="0" xfId="37" applyNumberFormat="1" applyFont="1" applyFill="1"/>
    <xf numFmtId="2" fontId="0" fillId="24" borderId="0" xfId="0" applyNumberFormat="1" applyFill="1"/>
    <xf numFmtId="2" fontId="4" fillId="24" borderId="0" xfId="0" applyNumberFormat="1" applyFont="1" applyFill="1"/>
    <xf numFmtId="0" fontId="32" fillId="24" borderId="0" xfId="0" applyFont="1" applyFill="1" applyAlignment="1">
      <alignment horizontal="center"/>
    </xf>
    <xf numFmtId="0" fontId="26" fillId="24" borderId="0" xfId="0" applyFont="1" applyFill="1" applyAlignment="1">
      <alignment wrapText="1"/>
    </xf>
    <xf numFmtId="3" fontId="54" fillId="0" borderId="13" xfId="0" applyNumberFormat="1" applyFont="1" applyBorder="1" applyAlignment="1">
      <alignment wrapText="1"/>
    </xf>
    <xf numFmtId="3" fontId="42" fillId="0" borderId="13" xfId="0" applyNumberFormat="1" applyFont="1" applyBorder="1" applyAlignment="1">
      <alignment wrapText="1"/>
    </xf>
    <xf numFmtId="3" fontId="42" fillId="0" borderId="0" xfId="0" applyNumberFormat="1" applyFont="1"/>
    <xf numFmtId="9" fontId="54" fillId="0" borderId="13" xfId="55" applyFont="1" applyBorder="1" applyAlignment="1">
      <alignment wrapText="1"/>
    </xf>
    <xf numFmtId="9" fontId="42" fillId="0" borderId="13" xfId="55" applyFont="1" applyBorder="1" applyAlignment="1">
      <alignment wrapText="1"/>
    </xf>
    <xf numFmtId="3" fontId="0" fillId="24" borderId="0" xfId="0" applyNumberFormat="1" applyFill="1"/>
    <xf numFmtId="9" fontId="42" fillId="0" borderId="0" xfId="55" applyFont="1"/>
    <xf numFmtId="0" fontId="36" fillId="24" borderId="46" xfId="0" applyFont="1" applyFill="1" applyBorder="1"/>
    <xf numFmtId="0" fontId="0" fillId="24" borderId="47" xfId="0" applyFill="1" applyBorder="1"/>
    <xf numFmtId="0" fontId="0" fillId="24" borderId="49" xfId="0" applyFill="1" applyBorder="1"/>
    <xf numFmtId="0" fontId="0" fillId="24" borderId="50" xfId="0" applyFill="1" applyBorder="1"/>
    <xf numFmtId="0" fontId="0" fillId="0" borderId="49" xfId="0" applyBorder="1"/>
    <xf numFmtId="0" fontId="36" fillId="24" borderId="51" xfId="0" applyFont="1" applyFill="1" applyBorder="1"/>
    <xf numFmtId="0" fontId="40" fillId="24" borderId="49" xfId="0" applyFont="1" applyFill="1" applyBorder="1"/>
    <xf numFmtId="0" fontId="36" fillId="24" borderId="49" xfId="0" applyFont="1" applyFill="1" applyBorder="1"/>
    <xf numFmtId="0" fontId="0" fillId="0" borderId="0" xfId="0" applyBorder="1"/>
    <xf numFmtId="0" fontId="55" fillId="24" borderId="49" xfId="0" applyFont="1" applyFill="1" applyBorder="1" applyAlignment="1">
      <alignment horizontal="left" vertical="center" wrapText="1"/>
    </xf>
    <xf numFmtId="0" fontId="54" fillId="0" borderId="53" xfId="0" applyFont="1" applyBorder="1" applyAlignment="1">
      <alignment horizontal="left" vertical="center" wrapText="1"/>
    </xf>
    <xf numFmtId="0" fontId="36" fillId="24" borderId="51" xfId="0" applyFont="1" applyFill="1" applyBorder="1" applyAlignment="1">
      <alignment horizontal="left" vertical="center" wrapText="1"/>
    </xf>
    <xf numFmtId="0" fontId="36" fillId="24" borderId="49" xfId="0" applyFont="1" applyFill="1" applyBorder="1" applyAlignment="1">
      <alignment horizontal="left" vertical="center" wrapText="1"/>
    </xf>
    <xf numFmtId="0" fontId="0" fillId="24" borderId="54" xfId="0" applyFill="1" applyBorder="1"/>
    <xf numFmtId="0" fontId="0" fillId="24" borderId="55" xfId="0" applyFill="1" applyBorder="1"/>
    <xf numFmtId="0" fontId="2" fillId="24" borderId="47" xfId="0" applyFont="1" applyFill="1" applyBorder="1" applyProtection="1">
      <protection hidden="1"/>
    </xf>
    <xf numFmtId="38" fontId="2" fillId="24" borderId="47" xfId="0" applyNumberFormat="1" applyFont="1" applyFill="1" applyBorder="1" applyProtection="1">
      <protection hidden="1"/>
    </xf>
    <xf numFmtId="0" fontId="0" fillId="24" borderId="48" xfId="0" applyFill="1" applyBorder="1" applyAlignment="1">
      <alignment horizontal="center" vertical="center"/>
    </xf>
    <xf numFmtId="0" fontId="0" fillId="24" borderId="50" xfId="0" applyFill="1" applyBorder="1" applyAlignment="1">
      <alignment horizontal="center" vertical="center"/>
    </xf>
    <xf numFmtId="0" fontId="36" fillId="24" borderId="50" xfId="0" applyFont="1" applyFill="1" applyBorder="1" applyAlignment="1">
      <alignment horizontal="center" vertical="center"/>
    </xf>
    <xf numFmtId="10" fontId="33" fillId="24" borderId="50" xfId="55" applyNumberFormat="1" applyFont="1" applyFill="1" applyBorder="1" applyAlignment="1">
      <alignment horizontal="center" vertical="center"/>
    </xf>
    <xf numFmtId="173" fontId="39" fillId="24" borderId="0" xfId="55" applyNumberFormat="1" applyFont="1" applyFill="1" applyBorder="1" applyAlignment="1" applyProtection="1">
      <alignment horizontal="center" vertical="center"/>
      <protection hidden="1"/>
    </xf>
    <xf numFmtId="17" fontId="44" fillId="0" borderId="57" xfId="50" applyNumberFormat="1" applyFont="1" applyBorder="1" applyAlignment="1">
      <alignment horizontal="left" vertical="center" wrapText="1"/>
    </xf>
    <xf numFmtId="0" fontId="48" fillId="0" borderId="58" xfId="50" applyFont="1" applyBorder="1" applyAlignment="1">
      <alignment horizontal="center" vertical="center" wrapText="1"/>
    </xf>
    <xf numFmtId="0" fontId="48" fillId="0" borderId="59" xfId="50" applyFont="1" applyBorder="1" applyAlignment="1">
      <alignment horizontal="center" vertical="center" wrapText="1"/>
    </xf>
    <xf numFmtId="0" fontId="56" fillId="0" borderId="60" xfId="50" applyFont="1" applyBorder="1" applyAlignment="1">
      <alignment horizontal="left" vertical="center" wrapText="1"/>
    </xf>
    <xf numFmtId="3" fontId="45" fillId="0" borderId="61" xfId="50" applyNumberFormat="1" applyFont="1" applyBorder="1"/>
    <xf numFmtId="0" fontId="56" fillId="0" borderId="53" xfId="50" applyFont="1" applyBorder="1" applyAlignment="1">
      <alignment horizontal="left" vertical="center" wrapText="1"/>
    </xf>
    <xf numFmtId="3" fontId="45" fillId="0" borderId="62" xfId="50" applyNumberFormat="1" applyFont="1" applyBorder="1"/>
    <xf numFmtId="0" fontId="48" fillId="0" borderId="53" xfId="50" applyFont="1" applyBorder="1" applyAlignment="1">
      <alignment horizontal="left" vertical="center" wrapText="1"/>
    </xf>
    <xf numFmtId="0" fontId="49" fillId="0" borderId="53" xfId="50" applyFont="1" applyBorder="1" applyAlignment="1">
      <alignment horizontal="left" vertical="center" wrapText="1"/>
    </xf>
    <xf numFmtId="0" fontId="56" fillId="0" borderId="63" xfId="50" applyFont="1" applyBorder="1" applyAlignment="1">
      <alignment horizontal="left" vertical="center" wrapText="1"/>
    </xf>
    <xf numFmtId="3" fontId="45" fillId="0" borderId="37" xfId="50" applyNumberFormat="1" applyFont="1" applyBorder="1"/>
    <xf numFmtId="3" fontId="45" fillId="0" borderId="64" xfId="50" applyNumberFormat="1" applyFont="1" applyBorder="1"/>
    <xf numFmtId="0" fontId="54" fillId="0" borderId="65" xfId="0" applyFont="1" applyBorder="1" applyAlignment="1">
      <alignment horizontal="left" vertical="center" wrapText="1"/>
    </xf>
    <xf numFmtId="0" fontId="54" fillId="0" borderId="66" xfId="0" applyNumberFormat="1" applyFont="1" applyBorder="1" applyAlignment="1">
      <alignment horizontal="center" vertical="center" wrapText="1"/>
    </xf>
    <xf numFmtId="0" fontId="36" fillId="0" borderId="67" xfId="0" applyFont="1" applyBorder="1"/>
    <xf numFmtId="0" fontId="0" fillId="0" borderId="62" xfId="0" applyBorder="1"/>
    <xf numFmtId="9" fontId="0" fillId="0" borderId="62" xfId="0" applyNumberFormat="1" applyBorder="1"/>
    <xf numFmtId="0" fontId="42" fillId="0" borderId="53" xfId="0" applyFont="1" applyBorder="1" applyAlignment="1">
      <alignment horizontal="left" vertical="center" wrapText="1"/>
    </xf>
    <xf numFmtId="173" fontId="0" fillId="0" borderId="62" xfId="0" applyNumberFormat="1" applyBorder="1"/>
    <xf numFmtId="0" fontId="54" fillId="0" borderId="63" xfId="0" applyFont="1" applyBorder="1" applyAlignment="1">
      <alignment horizontal="left" vertical="center" wrapText="1"/>
    </xf>
    <xf numFmtId="9" fontId="54" fillId="0" borderId="37" xfId="55" applyFont="1" applyBorder="1" applyAlignment="1">
      <alignment wrapText="1"/>
    </xf>
    <xf numFmtId="3" fontId="54" fillId="0" borderId="37" xfId="0" applyNumberFormat="1" applyFont="1" applyBorder="1" applyAlignment="1">
      <alignment wrapText="1"/>
    </xf>
    <xf numFmtId="9" fontId="0" fillId="0" borderId="64" xfId="0" applyNumberFormat="1" applyBorder="1"/>
    <xf numFmtId="0" fontId="45" fillId="0" borderId="57" xfId="50" applyFont="1" applyBorder="1" applyAlignment="1">
      <alignment horizontal="left"/>
    </xf>
    <xf numFmtId="0" fontId="48" fillId="0" borderId="58" xfId="50" applyFont="1" applyBorder="1"/>
    <xf numFmtId="0" fontId="48" fillId="0" borderId="59" xfId="50" applyFont="1" applyBorder="1"/>
    <xf numFmtId="3" fontId="46" fillId="0" borderId="62" xfId="50" applyNumberFormat="1" applyFont="1" applyBorder="1"/>
    <xf numFmtId="0" fontId="54" fillId="0" borderId="60" xfId="0" applyFont="1" applyBorder="1" applyAlignment="1">
      <alignment horizontal="left" vertical="center" wrapText="1"/>
    </xf>
    <xf numFmtId="3" fontId="42" fillId="0" borderId="62" xfId="0" applyNumberFormat="1" applyFont="1" applyBorder="1" applyAlignment="1">
      <alignment wrapText="1"/>
    </xf>
    <xf numFmtId="3" fontId="54" fillId="0" borderId="62" xfId="0" applyNumberFormat="1" applyFont="1" applyBorder="1" applyAlignment="1">
      <alignment wrapText="1"/>
    </xf>
    <xf numFmtId="3" fontId="54" fillId="0" borderId="64" xfId="0" applyNumberFormat="1" applyFont="1" applyBorder="1" applyAlignment="1">
      <alignment wrapText="1"/>
    </xf>
    <xf numFmtId="0" fontId="54" fillId="0" borderId="66" xfId="0" applyFont="1" applyBorder="1" applyAlignment="1">
      <alignment horizontal="center" vertical="center" wrapText="1"/>
    </xf>
    <xf numFmtId="0" fontId="54" fillId="0" borderId="67" xfId="0" applyFont="1" applyBorder="1" applyAlignment="1">
      <alignment horizontal="center" vertical="center" wrapText="1"/>
    </xf>
    <xf numFmtId="0" fontId="42" fillId="0" borderId="62" xfId="0" applyFont="1" applyBorder="1" applyAlignment="1">
      <alignment wrapText="1"/>
    </xf>
    <xf numFmtId="0" fontId="42" fillId="0" borderId="63" xfId="0" applyFont="1" applyBorder="1" applyAlignment="1">
      <alignment horizontal="left" vertical="center" wrapText="1"/>
    </xf>
    <xf numFmtId="3" fontId="42" fillId="0" borderId="37" xfId="0" applyNumberFormat="1" applyFont="1" applyBorder="1" applyAlignment="1">
      <alignment wrapText="1"/>
    </xf>
    <xf numFmtId="3" fontId="42" fillId="0" borderId="64" xfId="0" applyNumberFormat="1" applyFont="1" applyBorder="1" applyAlignment="1">
      <alignment wrapText="1"/>
    </xf>
    <xf numFmtId="43" fontId="31" fillId="0" borderId="13" xfId="37" applyNumberFormat="1" applyFont="1" applyBorder="1"/>
    <xf numFmtId="0" fontId="30" fillId="22" borderId="23" xfId="0" applyFont="1" applyFill="1" applyBorder="1" applyAlignment="1">
      <alignment horizontal="center"/>
    </xf>
    <xf numFmtId="43" fontId="31" fillId="0" borderId="33" xfId="37" applyNumberFormat="1" applyFont="1" applyBorder="1"/>
    <xf numFmtId="2" fontId="0" fillId="0" borderId="23" xfId="0" applyNumberFormat="1" applyBorder="1"/>
    <xf numFmtId="43" fontId="31" fillId="0" borderId="32" xfId="37" applyNumberFormat="1" applyFont="1" applyBorder="1"/>
    <xf numFmtId="43" fontId="31" fillId="0" borderId="34" xfId="37" applyNumberFormat="1" applyFont="1" applyBorder="1"/>
    <xf numFmtId="0" fontId="2" fillId="24" borderId="0" xfId="0" applyFont="1" applyFill="1" applyBorder="1" applyAlignment="1" applyProtection="1">
      <alignment vertical="center"/>
      <protection locked="0" hidden="1"/>
    </xf>
    <xf numFmtId="0" fontId="34" fillId="24" borderId="46" xfId="35" applyFill="1" applyBorder="1" applyAlignment="1" applyProtection="1">
      <alignment vertical="center"/>
      <protection hidden="1"/>
    </xf>
    <xf numFmtId="0" fontId="57" fillId="24" borderId="49" xfId="0" applyFont="1" applyFill="1" applyBorder="1" applyAlignment="1" applyProtection="1">
      <alignment vertical="center"/>
      <protection hidden="1"/>
    </xf>
    <xf numFmtId="0" fontId="58" fillId="24" borderId="49" xfId="0" applyFont="1" applyFill="1" applyBorder="1" applyAlignment="1" applyProtection="1">
      <alignment vertical="center"/>
      <protection hidden="1"/>
    </xf>
    <xf numFmtId="0" fontId="59" fillId="24" borderId="49" xfId="0" applyFont="1" applyFill="1" applyBorder="1" applyAlignment="1" applyProtection="1">
      <alignment vertical="center"/>
      <protection hidden="1"/>
    </xf>
    <xf numFmtId="0" fontId="58" fillId="24" borderId="0" xfId="0" applyFont="1" applyFill="1" applyAlignment="1" applyProtection="1">
      <alignment vertical="center"/>
      <protection hidden="1"/>
    </xf>
    <xf numFmtId="43" fontId="1" fillId="23" borderId="35" xfId="37" applyNumberFormat="1" applyFont="1" applyFill="1" applyBorder="1" applyAlignment="1"/>
    <xf numFmtId="43" fontId="1" fillId="23" borderId="36" xfId="37" applyNumberFormat="1" applyFont="1" applyFill="1" applyBorder="1" applyAlignment="1"/>
    <xf numFmtId="43" fontId="1" fillId="23" borderId="40" xfId="37" applyNumberFormat="1" applyFont="1" applyFill="1" applyBorder="1" applyAlignment="1"/>
    <xf numFmtId="38" fontId="53" fillId="24" borderId="0" xfId="0" applyNumberFormat="1" applyFont="1" applyFill="1" applyBorder="1" applyAlignment="1" applyProtection="1">
      <alignment horizontal="center" vertical="center"/>
      <protection hidden="1"/>
    </xf>
    <xf numFmtId="0" fontId="60" fillId="24" borderId="49" xfId="0" applyFont="1" applyFill="1" applyBorder="1" applyAlignment="1" applyProtection="1">
      <alignment vertical="center"/>
      <protection hidden="1"/>
    </xf>
    <xf numFmtId="9" fontId="61" fillId="24" borderId="0" xfId="55" applyFont="1" applyFill="1" applyBorder="1"/>
    <xf numFmtId="173" fontId="33" fillId="24" borderId="72" xfId="55" applyNumberFormat="1" applyFont="1" applyFill="1" applyBorder="1" applyAlignment="1" applyProtection="1">
      <alignment horizontal="center" vertical="center"/>
      <protection hidden="1"/>
    </xf>
    <xf numFmtId="10" fontId="33" fillId="24" borderId="72" xfId="55" applyNumberFormat="1" applyFont="1" applyFill="1" applyBorder="1" applyAlignment="1" applyProtection="1">
      <alignment horizontal="center" vertical="center"/>
      <protection hidden="1"/>
    </xf>
    <xf numFmtId="10" fontId="33" fillId="24" borderId="21" xfId="55" applyNumberFormat="1" applyFont="1" applyFill="1" applyBorder="1" applyAlignment="1" applyProtection="1">
      <alignment horizontal="center" vertical="center"/>
      <protection hidden="1"/>
    </xf>
    <xf numFmtId="173" fontId="39" fillId="24" borderId="14" xfId="55" applyNumberFormat="1" applyFont="1" applyFill="1" applyBorder="1" applyAlignment="1" applyProtection="1">
      <alignment horizontal="center" vertical="center"/>
      <protection hidden="1"/>
    </xf>
    <xf numFmtId="173" fontId="33" fillId="24" borderId="14" xfId="55" applyNumberFormat="1" applyFont="1" applyFill="1" applyBorder="1" applyAlignment="1" applyProtection="1">
      <alignment horizontal="center" vertical="center"/>
      <protection hidden="1"/>
    </xf>
    <xf numFmtId="173" fontId="33" fillId="24" borderId="15" xfId="55" applyNumberFormat="1" applyFont="1" applyFill="1" applyBorder="1" applyAlignment="1" applyProtection="1">
      <alignment horizontal="center" vertical="center"/>
      <protection hidden="1"/>
    </xf>
    <xf numFmtId="173" fontId="0" fillId="24" borderId="0" xfId="0" applyNumberFormat="1" applyFont="1" applyFill="1" applyBorder="1" applyProtection="1">
      <protection hidden="1"/>
    </xf>
    <xf numFmtId="173" fontId="39" fillId="24" borderId="73" xfId="55" applyNumberFormat="1" applyFont="1" applyFill="1" applyBorder="1" applyAlignment="1" applyProtection="1">
      <alignment horizontal="center" vertical="center"/>
      <protection hidden="1"/>
    </xf>
    <xf numFmtId="173" fontId="39" fillId="24" borderId="22" xfId="55" applyNumberFormat="1" applyFont="1" applyFill="1" applyBorder="1" applyAlignment="1" applyProtection="1">
      <alignment horizontal="center" vertical="center"/>
      <protection hidden="1"/>
    </xf>
    <xf numFmtId="173" fontId="0" fillId="0" borderId="0" xfId="0" applyNumberFormat="1" applyFont="1" applyFill="1" applyBorder="1" applyProtection="1">
      <protection hidden="1"/>
    </xf>
    <xf numFmtId="10" fontId="0" fillId="24" borderId="50" xfId="0" applyNumberFormat="1" applyFill="1" applyBorder="1" applyAlignment="1">
      <alignment horizontal="center" vertical="center"/>
    </xf>
    <xf numFmtId="10" fontId="39" fillId="24" borderId="14" xfId="55" applyNumberFormat="1" applyFont="1" applyFill="1" applyBorder="1" applyAlignment="1" applyProtection="1">
      <alignment horizontal="center" vertical="center"/>
      <protection hidden="1"/>
    </xf>
    <xf numFmtId="10" fontId="39" fillId="24" borderId="15" xfId="55" applyNumberFormat="1" applyFont="1" applyFill="1" applyBorder="1" applyAlignment="1" applyProtection="1">
      <alignment horizontal="center" vertical="center"/>
      <protection hidden="1"/>
    </xf>
    <xf numFmtId="10" fontId="33" fillId="24" borderId="14" xfId="55" applyNumberFormat="1" applyFont="1" applyFill="1" applyBorder="1" applyAlignment="1" applyProtection="1">
      <alignment horizontal="center" vertical="center"/>
      <protection hidden="1"/>
    </xf>
    <xf numFmtId="10" fontId="33" fillId="24" borderId="15" xfId="55" applyNumberFormat="1" applyFont="1" applyFill="1" applyBorder="1" applyAlignment="1" applyProtection="1">
      <alignment horizontal="center" vertical="center"/>
      <protection hidden="1"/>
    </xf>
    <xf numFmtId="10" fontId="33" fillId="24" borderId="28" xfId="55" applyNumberFormat="1" applyFont="1" applyFill="1" applyBorder="1" applyAlignment="1" applyProtection="1">
      <alignment horizontal="center" vertical="center"/>
      <protection hidden="1"/>
    </xf>
    <xf numFmtId="10" fontId="33" fillId="24" borderId="69" xfId="55" applyNumberFormat="1" applyFont="1" applyFill="1" applyBorder="1" applyAlignment="1" applyProtection="1">
      <alignment horizontal="center" vertical="center"/>
      <protection hidden="1"/>
    </xf>
    <xf numFmtId="10" fontId="39" fillId="0" borderId="14" xfId="55" applyNumberFormat="1" applyFont="1" applyFill="1" applyBorder="1" applyAlignment="1" applyProtection="1">
      <alignment horizontal="center" vertical="center"/>
      <protection hidden="1"/>
    </xf>
    <xf numFmtId="10" fontId="39" fillId="0" borderId="15" xfId="55" applyNumberFormat="1" applyFont="1" applyFill="1" applyBorder="1" applyAlignment="1" applyProtection="1">
      <alignment horizontal="center" vertical="center"/>
      <protection hidden="1"/>
    </xf>
    <xf numFmtId="10" fontId="39" fillId="24" borderId="73" xfId="55" applyNumberFormat="1" applyFont="1" applyFill="1" applyBorder="1" applyAlignment="1" applyProtection="1">
      <alignment horizontal="center" vertical="center"/>
      <protection hidden="1"/>
    </xf>
    <xf numFmtId="10" fontId="39" fillId="24" borderId="22" xfId="55" applyNumberFormat="1" applyFont="1" applyFill="1" applyBorder="1" applyAlignment="1" applyProtection="1">
      <alignment horizontal="center" vertical="center"/>
      <protection hidden="1"/>
    </xf>
    <xf numFmtId="2" fontId="33" fillId="24" borderId="14" xfId="37" applyNumberFormat="1" applyFont="1" applyFill="1" applyBorder="1" applyAlignment="1" applyProtection="1">
      <alignment horizontal="center" vertical="center"/>
      <protection hidden="1"/>
    </xf>
    <xf numFmtId="2" fontId="33" fillId="24" borderId="15" xfId="37" applyNumberFormat="1" applyFont="1" applyFill="1" applyBorder="1" applyAlignment="1" applyProtection="1">
      <alignment horizontal="center" vertical="center"/>
      <protection hidden="1"/>
    </xf>
    <xf numFmtId="2" fontId="39" fillId="24" borderId="14" xfId="37" applyNumberFormat="1" applyFont="1" applyFill="1" applyBorder="1" applyAlignment="1" applyProtection="1">
      <alignment horizontal="center" vertical="center"/>
      <protection hidden="1"/>
    </xf>
    <xf numFmtId="2" fontId="39" fillId="24" borderId="15" xfId="37" applyNumberFormat="1" applyFont="1" applyFill="1" applyBorder="1" applyAlignment="1" applyProtection="1">
      <alignment horizontal="center" vertical="center"/>
      <protection hidden="1"/>
    </xf>
    <xf numFmtId="2" fontId="39" fillId="24" borderId="73" xfId="37" applyNumberFormat="1" applyFont="1" applyFill="1" applyBorder="1" applyAlignment="1" applyProtection="1">
      <alignment horizontal="center" vertical="center"/>
      <protection hidden="1"/>
    </xf>
    <xf numFmtId="2" fontId="39" fillId="24" borderId="22" xfId="37" applyNumberFormat="1" applyFont="1" applyFill="1" applyBorder="1" applyAlignment="1" applyProtection="1">
      <alignment horizontal="center" vertical="center"/>
      <protection hidden="1"/>
    </xf>
    <xf numFmtId="2" fontId="33" fillId="24" borderId="72" xfId="37" applyNumberFormat="1" applyFont="1" applyFill="1" applyBorder="1" applyAlignment="1" applyProtection="1">
      <alignment horizontal="center" vertical="center"/>
      <protection hidden="1"/>
    </xf>
    <xf numFmtId="2" fontId="33" fillId="24" borderId="21" xfId="37" applyNumberFormat="1" applyFont="1" applyFill="1" applyBorder="1" applyAlignment="1" applyProtection="1">
      <alignment horizontal="center" vertical="center"/>
      <protection hidden="1"/>
    </xf>
    <xf numFmtId="40" fontId="0" fillId="0" borderId="72" xfId="0" applyNumberFormat="1" applyFont="1" applyFill="1" applyBorder="1" applyAlignment="1" applyProtection="1">
      <alignment horizontal="center" vertical="center"/>
      <protection hidden="1"/>
    </xf>
    <xf numFmtId="40" fontId="0" fillId="0" borderId="21" xfId="0" applyNumberFormat="1" applyFont="1" applyFill="1" applyBorder="1" applyAlignment="1" applyProtection="1">
      <alignment horizontal="center" vertical="center"/>
      <protection hidden="1"/>
    </xf>
    <xf numFmtId="40" fontId="33" fillId="24" borderId="21" xfId="37" applyNumberFormat="1" applyFont="1" applyFill="1" applyBorder="1" applyAlignment="1" applyProtection="1">
      <alignment horizontal="center" vertical="center"/>
      <protection hidden="1"/>
    </xf>
    <xf numFmtId="40" fontId="0" fillId="24" borderId="50" xfId="0" applyNumberFormat="1" applyFill="1" applyBorder="1" applyAlignment="1">
      <alignment horizontal="center" vertical="center"/>
    </xf>
    <xf numFmtId="40" fontId="39" fillId="0" borderId="14" xfId="0" applyNumberFormat="1" applyFont="1" applyFill="1" applyBorder="1" applyAlignment="1" applyProtection="1">
      <alignment horizontal="center" vertical="center"/>
      <protection hidden="1"/>
    </xf>
    <xf numFmtId="40" fontId="39" fillId="0" borderId="15" xfId="0" applyNumberFormat="1" applyFont="1" applyFill="1" applyBorder="1" applyAlignment="1" applyProtection="1">
      <alignment horizontal="center" vertical="center"/>
      <protection hidden="1"/>
    </xf>
    <xf numFmtId="40" fontId="39" fillId="24" borderId="15" xfId="37" applyNumberFormat="1" applyFont="1" applyFill="1" applyBorder="1" applyAlignment="1" applyProtection="1">
      <alignment horizontal="center" vertical="center"/>
      <protection hidden="1"/>
    </xf>
    <xf numFmtId="40" fontId="39" fillId="0" borderId="73" xfId="0" applyNumberFormat="1" applyFont="1" applyFill="1" applyBorder="1" applyAlignment="1" applyProtection="1">
      <alignment horizontal="center" vertical="center"/>
      <protection hidden="1"/>
    </xf>
    <xf numFmtId="40" fontId="39" fillId="0" borderId="22" xfId="0" applyNumberFormat="1" applyFont="1" applyFill="1" applyBorder="1" applyAlignment="1" applyProtection="1">
      <alignment horizontal="center" vertical="center"/>
      <protection hidden="1"/>
    </xf>
    <xf numFmtId="10" fontId="0" fillId="24" borderId="0" xfId="0" applyNumberFormat="1" applyFill="1"/>
    <xf numFmtId="10" fontId="39" fillId="0" borderId="73" xfId="55" applyNumberFormat="1" applyFont="1" applyFill="1" applyBorder="1" applyAlignment="1" applyProtection="1">
      <alignment horizontal="center" vertical="center"/>
      <protection hidden="1"/>
    </xf>
    <xf numFmtId="10" fontId="39" fillId="0" borderId="22" xfId="55" applyNumberFormat="1" applyFont="1" applyFill="1" applyBorder="1" applyAlignment="1" applyProtection="1">
      <alignment horizontal="center" vertical="center"/>
      <protection hidden="1"/>
    </xf>
    <xf numFmtId="40" fontId="0" fillId="24" borderId="23" xfId="0" applyNumberFormat="1" applyFont="1" applyFill="1" applyBorder="1" applyAlignment="1" applyProtection="1">
      <alignment horizontal="center" vertical="center"/>
      <protection hidden="1"/>
    </xf>
    <xf numFmtId="40" fontId="0" fillId="24" borderId="24" xfId="0" applyNumberFormat="1" applyFont="1" applyFill="1" applyBorder="1" applyAlignment="1" applyProtection="1">
      <alignment horizontal="center" vertical="center"/>
      <protection hidden="1"/>
    </xf>
    <xf numFmtId="40" fontId="39" fillId="24" borderId="33" xfId="0" applyNumberFormat="1" applyFont="1" applyFill="1" applyBorder="1" applyAlignment="1" applyProtection="1">
      <alignment horizontal="center" vertical="center"/>
      <protection hidden="1"/>
    </xf>
    <xf numFmtId="10" fontId="33" fillId="0" borderId="0" xfId="55" applyNumberFormat="1" applyFont="1"/>
    <xf numFmtId="43" fontId="33" fillId="0" borderId="0" xfId="37" applyFont="1"/>
    <xf numFmtId="0" fontId="63" fillId="24" borderId="49" xfId="0" applyFont="1" applyFill="1" applyBorder="1"/>
    <xf numFmtId="0" fontId="0" fillId="24" borderId="0" xfId="0" applyFill="1" applyAlignment="1"/>
    <xf numFmtId="0" fontId="0" fillId="24" borderId="32" xfId="0" applyFill="1" applyBorder="1"/>
    <xf numFmtId="2" fontId="0" fillId="24" borderId="40" xfId="0" applyNumberFormat="1" applyFill="1" applyBorder="1" applyAlignment="1">
      <alignment horizontal="left" vertical="center"/>
    </xf>
    <xf numFmtId="0" fontId="0" fillId="24" borderId="34" xfId="0" applyFill="1" applyBorder="1"/>
    <xf numFmtId="0" fontId="0" fillId="24" borderId="40" xfId="0" applyFill="1" applyBorder="1"/>
    <xf numFmtId="0" fontId="0" fillId="24" borderId="24" xfId="0" applyFill="1" applyBorder="1" applyAlignment="1">
      <alignment wrapText="1"/>
    </xf>
    <xf numFmtId="0" fontId="0" fillId="24" borderId="32" xfId="0" applyFill="1" applyBorder="1" applyAlignment="1">
      <alignment wrapText="1"/>
    </xf>
    <xf numFmtId="0" fontId="0" fillId="24" borderId="34" xfId="0" applyFill="1" applyBorder="1" applyAlignment="1">
      <alignment wrapText="1"/>
    </xf>
    <xf numFmtId="3" fontId="0" fillId="24" borderId="25" xfId="0" applyNumberFormat="1" applyFont="1" applyFill="1" applyBorder="1" applyAlignment="1">
      <alignment horizontal="right" vertical="center"/>
    </xf>
    <xf numFmtId="3" fontId="0" fillId="24" borderId="84" xfId="0" applyNumberFormat="1" applyFont="1" applyFill="1" applyBorder="1" applyAlignment="1">
      <alignment horizontal="right" vertical="center"/>
    </xf>
    <xf numFmtId="3" fontId="0" fillId="24" borderId="85" xfId="0" applyNumberFormat="1" applyFill="1" applyBorder="1"/>
    <xf numFmtId="3" fontId="0" fillId="24" borderId="86" xfId="0" applyNumberFormat="1" applyFill="1" applyBorder="1"/>
    <xf numFmtId="0" fontId="54" fillId="0" borderId="65" xfId="0" applyFont="1" applyBorder="1" applyAlignment="1">
      <alignment horizontal="center"/>
    </xf>
    <xf numFmtId="0" fontId="54" fillId="0" borderId="66" xfId="0" applyFont="1" applyBorder="1" applyAlignment="1">
      <alignment horizontal="center"/>
    </xf>
    <xf numFmtId="0" fontId="54" fillId="0" borderId="67" xfId="0" applyFont="1" applyBorder="1" applyAlignment="1">
      <alignment horizontal="center"/>
    </xf>
    <xf numFmtId="9" fontId="54" fillId="0" borderId="0" xfId="0" applyNumberFormat="1" applyFont="1" applyAlignment="1">
      <alignment horizontal="center"/>
    </xf>
    <xf numFmtId="0" fontId="54" fillId="26" borderId="53" xfId="0" applyFont="1" applyFill="1" applyBorder="1"/>
    <xf numFmtId="3" fontId="42" fillId="0" borderId="13" xfId="0" applyNumberFormat="1" applyFont="1" applyBorder="1"/>
    <xf numFmtId="3" fontId="42" fillId="0" borderId="62" xfId="0" applyNumberFormat="1" applyFont="1" applyBorder="1"/>
    <xf numFmtId="175" fontId="42" fillId="0" borderId="0" xfId="55" applyNumberFormat="1" applyFont="1"/>
    <xf numFmtId="0" fontId="42" fillId="0" borderId="53" xfId="0" applyFont="1" applyBorder="1"/>
    <xf numFmtId="172" fontId="42" fillId="0" borderId="13" xfId="37" applyNumberFormat="1" applyFont="1" applyBorder="1"/>
    <xf numFmtId="0" fontId="54" fillId="26" borderId="63" xfId="0" applyFont="1" applyFill="1" applyBorder="1"/>
    <xf numFmtId="3" fontId="42" fillId="0" borderId="37" xfId="0" applyNumberFormat="1" applyFont="1" applyBorder="1"/>
    <xf numFmtId="0" fontId="47" fillId="0" borderId="0" xfId="50" applyFont="1" applyFill="1" applyBorder="1" applyAlignment="1">
      <alignment horizontal="left" vertical="center" wrapText="1"/>
    </xf>
    <xf numFmtId="0" fontId="43" fillId="0" borderId="0" xfId="0" applyFont="1" applyFill="1" applyBorder="1" applyAlignment="1">
      <alignment horizontal="left" vertical="center" wrapText="1"/>
    </xf>
    <xf numFmtId="3" fontId="65" fillId="0" borderId="0" xfId="50" applyNumberFormat="1" applyFont="1"/>
    <xf numFmtId="0" fontId="42" fillId="0" borderId="65" xfId="0" applyFont="1" applyBorder="1"/>
    <xf numFmtId="172" fontId="42" fillId="0" borderId="66" xfId="37" applyNumberFormat="1" applyFont="1" applyBorder="1"/>
    <xf numFmtId="0" fontId="42" fillId="0" borderId="63" xfId="0" applyFont="1" applyBorder="1"/>
    <xf numFmtId="0" fontId="0" fillId="0" borderId="13" xfId="0" applyBorder="1"/>
    <xf numFmtId="172" fontId="33" fillId="0" borderId="13" xfId="37" applyNumberFormat="1" applyFont="1" applyBorder="1"/>
    <xf numFmtId="3" fontId="0" fillId="0" borderId="13" xfId="0" applyNumberFormat="1" applyBorder="1"/>
    <xf numFmtId="10" fontId="33" fillId="0" borderId="13" xfId="55" applyNumberFormat="1" applyFont="1" applyBorder="1"/>
    <xf numFmtId="9" fontId="0" fillId="0" borderId="13" xfId="0" applyNumberFormat="1" applyBorder="1"/>
    <xf numFmtId="173" fontId="0" fillId="0" borderId="13" xfId="0" applyNumberFormat="1" applyBorder="1"/>
    <xf numFmtId="10" fontId="0" fillId="0" borderId="13" xfId="0" applyNumberFormat="1" applyBorder="1"/>
    <xf numFmtId="43" fontId="33" fillId="0" borderId="13" xfId="37" applyFont="1" applyBorder="1"/>
    <xf numFmtId="0" fontId="62" fillId="24" borderId="0" xfId="0" applyFont="1" applyFill="1" applyAlignment="1">
      <alignment horizontal="center"/>
    </xf>
    <xf numFmtId="0" fontId="66" fillId="24" borderId="49" xfId="0" applyFont="1" applyFill="1" applyBorder="1"/>
    <xf numFmtId="0" fontId="0" fillId="0" borderId="65" xfId="0" applyBorder="1"/>
    <xf numFmtId="0" fontId="36" fillId="0" borderId="66" xfId="0" applyFont="1" applyBorder="1"/>
    <xf numFmtId="0" fontId="36" fillId="0" borderId="53" xfId="0" applyFont="1" applyBorder="1"/>
    <xf numFmtId="172" fontId="33" fillId="0" borderId="62" xfId="37" applyNumberFormat="1" applyFont="1" applyBorder="1"/>
    <xf numFmtId="3" fontId="0" fillId="0" borderId="62" xfId="0" applyNumberFormat="1" applyBorder="1"/>
    <xf numFmtId="10" fontId="33" fillId="0" borderId="62" xfId="55" applyNumberFormat="1" applyFont="1" applyBorder="1"/>
    <xf numFmtId="10" fontId="0" fillId="0" borderId="62" xfId="0" applyNumberFormat="1" applyBorder="1"/>
    <xf numFmtId="43" fontId="33" fillId="0" borderId="62" xfId="37" applyFont="1" applyBorder="1"/>
    <xf numFmtId="0" fontId="0" fillId="0" borderId="53" xfId="0" applyBorder="1"/>
    <xf numFmtId="0" fontId="36" fillId="0" borderId="63" xfId="0" applyFont="1" applyBorder="1"/>
    <xf numFmtId="10" fontId="33" fillId="0" borderId="37" xfId="55" applyNumberFormat="1" applyFont="1" applyBorder="1"/>
    <xf numFmtId="10" fontId="33" fillId="0" borderId="64" xfId="55" applyNumberFormat="1" applyFont="1" applyBorder="1"/>
    <xf numFmtId="0" fontId="0" fillId="24" borderId="80" xfId="0" applyFill="1" applyBorder="1" applyAlignment="1" applyProtection="1">
      <alignment vertical="center"/>
      <protection hidden="1"/>
    </xf>
    <xf numFmtId="10" fontId="39" fillId="0" borderId="72" xfId="55" applyNumberFormat="1" applyFont="1" applyFill="1" applyBorder="1" applyAlignment="1" applyProtection="1">
      <alignment horizontal="center" vertical="center"/>
      <protection hidden="1"/>
    </xf>
    <xf numFmtId="10" fontId="39" fillId="0" borderId="21" xfId="55" applyNumberFormat="1" applyFont="1" applyFill="1" applyBorder="1" applyAlignment="1" applyProtection="1">
      <alignment horizontal="center" vertical="center"/>
      <protection hidden="1"/>
    </xf>
    <xf numFmtId="10" fontId="39" fillId="24" borderId="21" xfId="55" applyNumberFormat="1" applyFont="1" applyFill="1" applyBorder="1" applyAlignment="1" applyProtection="1">
      <alignment horizontal="center" vertical="center"/>
      <protection hidden="1"/>
    </xf>
    <xf numFmtId="0" fontId="0" fillId="24" borderId="69" xfId="0" applyFill="1" applyBorder="1" applyAlignment="1" applyProtection="1">
      <alignment vertical="center"/>
      <protection hidden="1"/>
    </xf>
    <xf numFmtId="0" fontId="0" fillId="24" borderId="22" xfId="0" applyFill="1" applyBorder="1" applyAlignment="1" applyProtection="1">
      <alignment vertical="center"/>
      <protection hidden="1"/>
    </xf>
    <xf numFmtId="0" fontId="48" fillId="0" borderId="53" xfId="0" applyFont="1" applyFill="1" applyBorder="1" applyAlignment="1">
      <alignment horizontal="left" vertical="center" wrapText="1"/>
    </xf>
    <xf numFmtId="0" fontId="56" fillId="0" borderId="53" xfId="0" applyFont="1" applyFill="1" applyBorder="1" applyAlignment="1">
      <alignment horizontal="left" vertical="center" wrapText="1"/>
    </xf>
    <xf numFmtId="0" fontId="54" fillId="0" borderId="13" xfId="0" applyFont="1" applyBorder="1" applyAlignment="1">
      <alignment horizontal="left" vertical="center" wrapText="1"/>
    </xf>
    <xf numFmtId="9" fontId="45" fillId="0" borderId="13" xfId="55" applyFont="1" applyBorder="1"/>
    <xf numFmtId="9" fontId="46" fillId="0" borderId="13" xfId="55" applyFont="1" applyBorder="1"/>
    <xf numFmtId="2" fontId="0" fillId="0" borderId="24" xfId="0" applyNumberFormat="1" applyBorder="1"/>
    <xf numFmtId="0" fontId="34" fillId="24" borderId="0" xfId="35" applyFill="1" applyAlignment="1" applyProtection="1">
      <alignment vertical="center"/>
    </xf>
    <xf numFmtId="43" fontId="1" fillId="23" borderId="36" xfId="37" applyNumberFormat="1" applyFont="1" applyFill="1" applyBorder="1" applyAlignment="1">
      <alignment wrapText="1"/>
    </xf>
    <xf numFmtId="0" fontId="67" fillId="24" borderId="0" xfId="0" applyFont="1" applyFill="1" applyBorder="1" applyAlignment="1" applyProtection="1">
      <alignment horizontal="left" vertical="center" wrapText="1"/>
      <protection hidden="1"/>
    </xf>
    <xf numFmtId="0" fontId="30" fillId="22" borderId="24" xfId="0" applyFont="1" applyFill="1" applyBorder="1" applyAlignment="1">
      <alignment horizontal="center"/>
    </xf>
    <xf numFmtId="38" fontId="0" fillId="0" borderId="14" xfId="0" applyNumberFormat="1" applyFont="1" applyFill="1" applyBorder="1" applyAlignment="1" applyProtection="1">
      <alignment horizontal="center" vertical="center"/>
      <protection hidden="1"/>
    </xf>
    <xf numFmtId="38" fontId="0" fillId="0" borderId="15" xfId="0" applyNumberFormat="1" applyFont="1" applyFill="1" applyBorder="1" applyAlignment="1" applyProtection="1">
      <alignment horizontal="center" vertical="center"/>
      <protection hidden="1"/>
    </xf>
    <xf numFmtId="38" fontId="39" fillId="0" borderId="14" xfId="0" applyNumberFormat="1" applyFont="1" applyFill="1" applyBorder="1" applyAlignment="1" applyProtection="1">
      <alignment horizontal="center" vertical="center"/>
      <protection hidden="1"/>
    </xf>
    <xf numFmtId="38" fontId="39" fillId="0" borderId="15" xfId="0" applyNumberFormat="1" applyFont="1" applyFill="1" applyBorder="1" applyAlignment="1" applyProtection="1">
      <alignment horizontal="center" vertical="center"/>
      <protection hidden="1"/>
    </xf>
    <xf numFmtId="3" fontId="56" fillId="0" borderId="31" xfId="0" applyNumberFormat="1" applyFont="1" applyFill="1" applyBorder="1" applyAlignment="1">
      <alignment horizontal="right" vertical="center" wrapText="1"/>
    </xf>
    <xf numFmtId="3" fontId="56" fillId="0" borderId="13" xfId="0" applyNumberFormat="1" applyFont="1" applyFill="1" applyBorder="1" applyAlignment="1">
      <alignment horizontal="right" vertical="center" wrapText="1"/>
    </xf>
    <xf numFmtId="3" fontId="48" fillId="0" borderId="31" xfId="0" applyNumberFormat="1" applyFont="1" applyFill="1" applyBorder="1" applyAlignment="1">
      <alignment horizontal="right" vertical="center" wrapText="1"/>
    </xf>
    <xf numFmtId="3" fontId="48" fillId="0" borderId="13" xfId="0" applyNumberFormat="1" applyFont="1" applyFill="1" applyBorder="1" applyAlignment="1">
      <alignment horizontal="right" vertical="center" wrapText="1"/>
    </xf>
    <xf numFmtId="9" fontId="0" fillId="24" borderId="0" xfId="55" applyFont="1" applyFill="1"/>
    <xf numFmtId="0" fontId="0" fillId="0" borderId="0" xfId="0" applyFill="1" applyAlignment="1">
      <alignment vertical="center"/>
    </xf>
    <xf numFmtId="10" fontId="0" fillId="24" borderId="0" xfId="55" applyNumberFormat="1" applyFont="1" applyFill="1"/>
    <xf numFmtId="173" fontId="54" fillId="0" borderId="13" xfId="55" applyNumberFormat="1" applyFont="1" applyBorder="1" applyAlignment="1">
      <alignment wrapText="1"/>
    </xf>
    <xf numFmtId="0" fontId="50" fillId="24" borderId="0" xfId="0" applyFont="1" applyFill="1" applyBorder="1" applyAlignment="1" applyProtection="1">
      <alignment horizontal="right" vertical="center" wrapText="1"/>
      <protection hidden="1"/>
    </xf>
    <xf numFmtId="0" fontId="2" fillId="24" borderId="47" xfId="0" applyFont="1" applyFill="1" applyBorder="1" applyAlignment="1" applyProtection="1">
      <alignment wrapText="1"/>
      <protection hidden="1"/>
    </xf>
    <xf numFmtId="0" fontId="2" fillId="24" borderId="0" xfId="0" applyFont="1" applyFill="1" applyBorder="1" applyAlignment="1" applyProtection="1">
      <alignment wrapText="1"/>
      <protection hidden="1"/>
    </xf>
    <xf numFmtId="0" fontId="0" fillId="24" borderId="0" xfId="0" applyFont="1" applyFill="1" applyBorder="1" applyAlignment="1" applyProtection="1">
      <alignment wrapText="1"/>
      <protection hidden="1"/>
    </xf>
    <xf numFmtId="0" fontId="0" fillId="24" borderId="21" xfId="0" applyFill="1" applyBorder="1" applyAlignment="1" applyProtection="1">
      <alignment wrapText="1"/>
      <protection hidden="1"/>
    </xf>
    <xf numFmtId="0" fontId="39" fillId="24" borderId="15" xfId="0" applyFont="1" applyFill="1" applyBorder="1" applyAlignment="1" applyProtection="1">
      <alignment wrapText="1"/>
      <protection hidden="1"/>
    </xf>
    <xf numFmtId="0" fontId="0" fillId="24" borderId="15" xfId="0" applyFill="1" applyBorder="1" applyAlignment="1" applyProtection="1">
      <alignment wrapText="1"/>
      <protection hidden="1"/>
    </xf>
    <xf numFmtId="0" fontId="39" fillId="24" borderId="22" xfId="0" applyFont="1" applyFill="1" applyBorder="1" applyAlignment="1" applyProtection="1">
      <alignment wrapText="1"/>
      <protection hidden="1"/>
    </xf>
    <xf numFmtId="0" fontId="0" fillId="24" borderId="0" xfId="0" applyFill="1" applyBorder="1" applyAlignment="1" applyProtection="1">
      <alignment wrapText="1"/>
      <protection hidden="1"/>
    </xf>
    <xf numFmtId="0" fontId="0" fillId="24" borderId="43" xfId="0" applyFill="1" applyBorder="1" applyAlignment="1" applyProtection="1">
      <alignment wrapText="1"/>
      <protection hidden="1"/>
    </xf>
    <xf numFmtId="0" fontId="39" fillId="24" borderId="44" xfId="0" applyFont="1" applyFill="1" applyBorder="1" applyAlignment="1" applyProtection="1">
      <alignment wrapText="1"/>
      <protection hidden="1"/>
    </xf>
    <xf numFmtId="0" fontId="0" fillId="24" borderId="44" xfId="0" applyFill="1" applyBorder="1" applyAlignment="1" applyProtection="1">
      <alignment wrapText="1"/>
      <protection hidden="1"/>
    </xf>
    <xf numFmtId="0" fontId="39" fillId="24" borderId="45" xfId="0" applyFont="1" applyFill="1" applyBorder="1" applyAlignment="1" applyProtection="1">
      <alignment wrapText="1"/>
      <protection hidden="1"/>
    </xf>
    <xf numFmtId="0" fontId="0" fillId="24" borderId="82" xfId="0" applyFill="1" applyBorder="1" applyAlignment="1" applyProtection="1">
      <alignment wrapText="1"/>
      <protection hidden="1"/>
    </xf>
    <xf numFmtId="0" fontId="0" fillId="24" borderId="83" xfId="0" applyFill="1" applyBorder="1" applyAlignment="1" applyProtection="1">
      <alignment wrapText="1"/>
      <protection hidden="1"/>
    </xf>
    <xf numFmtId="0" fontId="39" fillId="24" borderId="83" xfId="0" applyFont="1" applyFill="1" applyBorder="1" applyAlignment="1" applyProtection="1">
      <alignment wrapText="1"/>
      <protection hidden="1"/>
    </xf>
    <xf numFmtId="0" fontId="0" fillId="24" borderId="81" xfId="0" applyFill="1" applyBorder="1" applyAlignment="1" applyProtection="1">
      <alignment wrapText="1"/>
      <protection hidden="1"/>
    </xf>
    <xf numFmtId="0" fontId="0" fillId="24" borderId="78" xfId="0" applyFill="1" applyBorder="1" applyAlignment="1" applyProtection="1">
      <alignment wrapText="1"/>
      <protection hidden="1"/>
    </xf>
    <xf numFmtId="0" fontId="39" fillId="24" borderId="78" xfId="0" applyFont="1" applyFill="1" applyBorder="1" applyAlignment="1" applyProtection="1">
      <alignment wrapText="1"/>
      <protection hidden="1"/>
    </xf>
    <xf numFmtId="0" fontId="0" fillId="0" borderId="19" xfId="0" applyFill="1" applyBorder="1" applyAlignment="1" applyProtection="1">
      <alignment wrapText="1"/>
      <protection hidden="1"/>
    </xf>
    <xf numFmtId="0" fontId="39" fillId="24" borderId="79" xfId="0" applyFont="1" applyFill="1" applyBorder="1" applyAlignment="1" applyProtection="1">
      <alignment wrapText="1"/>
      <protection hidden="1"/>
    </xf>
    <xf numFmtId="0" fontId="39" fillId="24" borderId="21" xfId="0" applyFont="1" applyFill="1" applyBorder="1" applyAlignment="1" applyProtection="1">
      <alignment wrapText="1"/>
      <protection hidden="1"/>
    </xf>
    <xf numFmtId="0" fontId="39" fillId="24" borderId="0" xfId="0" applyFont="1" applyFill="1" applyBorder="1" applyAlignment="1" applyProtection="1">
      <alignment wrapText="1"/>
      <protection hidden="1"/>
    </xf>
    <xf numFmtId="0" fontId="0" fillId="24" borderId="35" xfId="0" applyFill="1" applyBorder="1" applyAlignment="1" applyProtection="1">
      <alignment wrapText="1"/>
      <protection hidden="1"/>
    </xf>
    <xf numFmtId="0" fontId="39" fillId="24" borderId="40" xfId="0" applyFont="1" applyFill="1" applyBorder="1" applyAlignment="1" applyProtection="1">
      <alignment wrapText="1"/>
      <protection hidden="1"/>
    </xf>
    <xf numFmtId="0" fontId="0" fillId="24" borderId="0" xfId="0" applyFill="1" applyBorder="1" applyAlignment="1">
      <alignment wrapText="1"/>
    </xf>
    <xf numFmtId="0" fontId="0" fillId="24" borderId="0" xfId="0" applyFill="1" applyAlignment="1">
      <alignment wrapText="1"/>
    </xf>
    <xf numFmtId="0" fontId="0" fillId="0" borderId="23" xfId="0" applyBorder="1" applyAlignment="1">
      <alignment wrapText="1"/>
    </xf>
    <xf numFmtId="0" fontId="0" fillId="0" borderId="13" xfId="0" applyBorder="1" applyAlignment="1">
      <alignment wrapText="1"/>
    </xf>
    <xf numFmtId="0" fontId="0" fillId="0" borderId="33" xfId="0" applyBorder="1" applyAlignment="1">
      <alignment wrapText="1"/>
    </xf>
    <xf numFmtId="0" fontId="31" fillId="0" borderId="13" xfId="0" applyFont="1" applyBorder="1" applyAlignment="1">
      <alignment wrapText="1"/>
    </xf>
    <xf numFmtId="0" fontId="31" fillId="0" borderId="33" xfId="0" applyFont="1" applyBorder="1" applyAlignment="1">
      <alignment wrapText="1"/>
    </xf>
    <xf numFmtId="0" fontId="32" fillId="0" borderId="33" xfId="0" applyFont="1" applyBorder="1" applyAlignment="1">
      <alignment horizontal="center" wrapText="1"/>
    </xf>
    <xf numFmtId="0" fontId="0" fillId="24" borderId="13" xfId="0" applyFill="1" applyBorder="1" applyAlignment="1">
      <alignment wrapText="1"/>
    </xf>
    <xf numFmtId="0" fontId="0" fillId="24" borderId="13" xfId="0" applyFill="1" applyBorder="1"/>
    <xf numFmtId="43" fontId="1" fillId="23" borderId="35" xfId="37" applyNumberFormat="1" applyFont="1" applyFill="1" applyBorder="1"/>
    <xf numFmtId="0" fontId="0" fillId="24" borderId="36" xfId="0" applyFill="1" applyBorder="1" applyAlignment="1">
      <alignment vertical="center"/>
    </xf>
    <xf numFmtId="0" fontId="0" fillId="0" borderId="36" xfId="0" applyBorder="1"/>
    <xf numFmtId="1" fontId="42" fillId="0" borderId="13" xfId="37" applyNumberFormat="1" applyFont="1" applyBorder="1"/>
    <xf numFmtId="1" fontId="42" fillId="0" borderId="62" xfId="37" applyNumberFormat="1" applyFont="1" applyBorder="1"/>
    <xf numFmtId="0" fontId="0" fillId="24" borderId="49" xfId="0" applyFill="1" applyBorder="1" applyAlignment="1">
      <alignment horizontal="justify" vertical="center" wrapText="1"/>
    </xf>
    <xf numFmtId="0" fontId="0" fillId="24" borderId="0" xfId="0" applyFill="1" applyBorder="1" applyAlignment="1">
      <alignment horizontal="justify" vertical="center" wrapText="1"/>
    </xf>
    <xf numFmtId="17" fontId="68" fillId="0" borderId="0" xfId="50" applyNumberFormat="1" applyFont="1" applyAlignment="1">
      <alignment horizontal="left" vertical="center" wrapText="1"/>
    </xf>
    <xf numFmtId="0" fontId="68" fillId="0" borderId="0" xfId="0" applyFont="1"/>
    <xf numFmtId="0" fontId="68" fillId="0" borderId="0" xfId="50" applyFont="1" applyAlignment="1">
      <alignment horizontal="left"/>
    </xf>
    <xf numFmtId="0" fontId="36" fillId="24" borderId="49" xfId="0" applyFont="1" applyFill="1" applyBorder="1" applyAlignment="1">
      <alignment horizontal="center"/>
    </xf>
    <xf numFmtId="0" fontId="36" fillId="24" borderId="0" xfId="0" applyFont="1" applyFill="1" applyBorder="1" applyAlignment="1">
      <alignment horizontal="center"/>
    </xf>
    <xf numFmtId="0" fontId="36" fillId="24" borderId="54" xfId="0" applyFont="1" applyFill="1" applyBorder="1"/>
    <xf numFmtId="3" fontId="0" fillId="24" borderId="55" xfId="0" applyNumberFormat="1" applyFill="1" applyBorder="1" applyAlignment="1">
      <alignment horizontal="right" vertical="center"/>
    </xf>
    <xf numFmtId="0" fontId="0" fillId="24" borderId="46" xfId="0" applyFill="1" applyBorder="1"/>
    <xf numFmtId="0" fontId="40" fillId="24" borderId="54" xfId="0" applyFont="1" applyFill="1" applyBorder="1"/>
    <xf numFmtId="0" fontId="40" fillId="24" borderId="46" xfId="0" applyFont="1" applyFill="1" applyBorder="1"/>
    <xf numFmtId="0" fontId="36" fillId="24" borderId="87" xfId="0" applyFont="1" applyFill="1" applyBorder="1"/>
    <xf numFmtId="0" fontId="54" fillId="0" borderId="88" xfId="0" applyFont="1" applyBorder="1" applyAlignment="1">
      <alignment horizontal="left" vertical="center" wrapText="1"/>
    </xf>
    <xf numFmtId="0" fontId="36" fillId="24" borderId="89" xfId="0" applyFont="1" applyFill="1" applyBorder="1"/>
    <xf numFmtId="2" fontId="0" fillId="24" borderId="0" xfId="0" applyNumberFormat="1" applyFont="1" applyFill="1" applyBorder="1" applyProtection="1">
      <protection hidden="1"/>
    </xf>
    <xf numFmtId="0" fontId="71" fillId="0" borderId="16" xfId="0" applyFont="1" applyBorder="1"/>
    <xf numFmtId="0" fontId="71" fillId="0" borderId="17" xfId="0" applyFont="1" applyBorder="1"/>
    <xf numFmtId="0" fontId="72" fillId="0" borderId="18" xfId="0" applyFont="1" applyBorder="1"/>
    <xf numFmtId="0" fontId="71" fillId="0" borderId="19" xfId="0" applyFont="1" applyBorder="1"/>
    <xf numFmtId="0" fontId="73" fillId="0" borderId="0" xfId="0" applyFont="1" applyBorder="1"/>
    <xf numFmtId="0" fontId="71" fillId="0" borderId="0" xfId="0" applyFont="1" applyBorder="1"/>
    <xf numFmtId="0" fontId="72" fillId="0" borderId="20" xfId="0" applyFont="1" applyBorder="1"/>
    <xf numFmtId="0" fontId="74" fillId="0" borderId="0" xfId="0" applyFont="1" applyBorder="1"/>
    <xf numFmtId="0" fontId="74" fillId="0" borderId="19" xfId="0" applyFont="1" applyBorder="1"/>
    <xf numFmtId="0" fontId="74" fillId="0" borderId="20" xfId="0" applyFont="1" applyBorder="1"/>
    <xf numFmtId="0" fontId="75" fillId="0" borderId="0" xfId="0" applyFont="1"/>
    <xf numFmtId="0" fontId="74" fillId="0" borderId="0" xfId="0" applyFont="1" applyBorder="1" applyAlignment="1">
      <alignment horizontal="center" vertical="center"/>
    </xf>
    <xf numFmtId="0" fontId="74" fillId="0" borderId="13" xfId="0" applyFont="1" applyBorder="1" applyAlignment="1">
      <alignment horizontal="center" vertical="center"/>
    </xf>
    <xf numFmtId="0" fontId="74" fillId="0" borderId="13" xfId="0" applyFont="1" applyBorder="1"/>
    <xf numFmtId="10" fontId="74" fillId="0" borderId="0" xfId="70" applyNumberFormat="1" applyFont="1" applyBorder="1"/>
    <xf numFmtId="0" fontId="74" fillId="0" borderId="95" xfId="0" applyFont="1" applyBorder="1"/>
    <xf numFmtId="0" fontId="74" fillId="0" borderId="12" xfId="0" applyFont="1" applyBorder="1"/>
    <xf numFmtId="0" fontId="74" fillId="0" borderId="96" xfId="0" applyFont="1" applyBorder="1"/>
    <xf numFmtId="0" fontId="0" fillId="0" borderId="16" xfId="0" applyBorder="1"/>
    <xf numFmtId="0" fontId="77" fillId="0" borderId="16" xfId="0" applyFont="1" applyBorder="1"/>
    <xf numFmtId="0" fontId="77" fillId="0" borderId="17" xfId="0" applyFont="1" applyBorder="1"/>
    <xf numFmtId="0" fontId="77" fillId="0" borderId="18" xfId="0" applyFont="1" applyBorder="1"/>
    <xf numFmtId="0" fontId="0" fillId="0" borderId="17" xfId="0" applyBorder="1"/>
    <xf numFmtId="0" fontId="0" fillId="0" borderId="18" xfId="0" applyBorder="1"/>
    <xf numFmtId="0" fontId="75" fillId="0" borderId="19" xfId="0" applyFont="1" applyBorder="1"/>
    <xf numFmtId="0" fontId="78" fillId="0" borderId="19" xfId="0" applyFont="1" applyBorder="1"/>
    <xf numFmtId="0" fontId="75" fillId="0" borderId="0" xfId="0" applyFont="1" applyBorder="1"/>
    <xf numFmtId="0" fontId="75" fillId="0" borderId="20" xfId="0" applyFont="1" applyBorder="1"/>
    <xf numFmtId="0" fontId="79" fillId="0" borderId="19" xfId="0" applyFont="1" applyBorder="1"/>
    <xf numFmtId="0" fontId="79" fillId="0" borderId="0" xfId="0" applyFont="1" applyBorder="1"/>
    <xf numFmtId="0" fontId="79" fillId="0" borderId="0" xfId="0" applyFont="1" applyBorder="1" applyAlignment="1">
      <alignment horizontal="center"/>
    </xf>
    <xf numFmtId="0" fontId="79" fillId="0" borderId="20" xfId="0" applyFont="1" applyBorder="1"/>
    <xf numFmtId="0" fontId="25" fillId="0" borderId="0" xfId="0" applyFont="1" applyBorder="1"/>
    <xf numFmtId="0" fontId="0" fillId="0" borderId="19" xfId="0" applyBorder="1"/>
    <xf numFmtId="10" fontId="79" fillId="28" borderId="42" xfId="0" applyNumberFormat="1" applyFont="1" applyFill="1" applyBorder="1"/>
    <xf numFmtId="0" fontId="80" fillId="0" borderId="0" xfId="0" applyFont="1" applyBorder="1" applyAlignment="1">
      <alignment horizontal="left" indent="1"/>
    </xf>
    <xf numFmtId="0" fontId="31" fillId="0" borderId="0" xfId="0" applyFont="1" applyBorder="1"/>
    <xf numFmtId="0" fontId="0" fillId="0" borderId="20" xfId="0" applyBorder="1"/>
    <xf numFmtId="0" fontId="80" fillId="0" borderId="19" xfId="0" applyFont="1" applyBorder="1"/>
    <xf numFmtId="10" fontId="79" fillId="28" borderId="42" xfId="70" applyNumberFormat="1" applyFont="1" applyFill="1" applyBorder="1"/>
    <xf numFmtId="43" fontId="79" fillId="0" borderId="0" xfId="71" applyFont="1" applyBorder="1"/>
    <xf numFmtId="43" fontId="27" fillId="0" borderId="0" xfId="71" applyFont="1" applyFill="1" applyBorder="1"/>
    <xf numFmtId="10" fontId="79" fillId="29" borderId="42" xfId="70" applyNumberFormat="1" applyFont="1" applyFill="1" applyBorder="1"/>
    <xf numFmtId="0" fontId="79" fillId="0" borderId="0" xfId="0" quotePrefix="1" applyFont="1" applyBorder="1"/>
    <xf numFmtId="0" fontId="0" fillId="0" borderId="95" xfId="0" applyBorder="1"/>
    <xf numFmtId="0" fontId="81" fillId="0" borderId="95" xfId="0" applyFont="1" applyBorder="1"/>
    <xf numFmtId="0" fontId="81" fillId="0" borderId="12" xfId="0" applyFont="1" applyBorder="1"/>
    <xf numFmtId="0" fontId="81" fillId="0" borderId="96" xfId="0" applyFont="1" applyBorder="1"/>
    <xf numFmtId="0" fontId="0" fillId="0" borderId="12" xfId="0" applyBorder="1"/>
    <xf numFmtId="0" fontId="0" fillId="0" borderId="96" xfId="0" applyBorder="1"/>
    <xf numFmtId="0" fontId="83" fillId="0" borderId="16" xfId="0" applyFont="1" applyBorder="1"/>
    <xf numFmtId="0" fontId="83" fillId="0" borderId="17" xfId="0" applyFont="1" applyBorder="1"/>
    <xf numFmtId="0" fontId="84" fillId="0" borderId="19" xfId="0" applyFont="1" applyBorder="1" applyAlignment="1">
      <alignment horizontal="left"/>
    </xf>
    <xf numFmtId="0" fontId="85" fillId="0" borderId="0" xfId="0" applyFont="1" applyBorder="1" applyAlignment="1">
      <alignment horizontal="left"/>
    </xf>
    <xf numFmtId="0" fontId="83" fillId="0" borderId="0" xfId="0" applyFont="1" applyBorder="1"/>
    <xf numFmtId="0" fontId="83" fillId="0" borderId="19" xfId="0" applyFont="1" applyBorder="1"/>
    <xf numFmtId="0" fontId="86" fillId="0" borderId="0" xfId="0" applyFont="1" applyBorder="1" applyAlignment="1">
      <alignment horizontal="center" vertical="center" wrapText="1"/>
    </xf>
    <xf numFmtId="0" fontId="83" fillId="0" borderId="0" xfId="0" applyFont="1" applyBorder="1" applyAlignment="1">
      <alignment horizontal="center" vertical="center" wrapText="1"/>
    </xf>
    <xf numFmtId="0" fontId="83" fillId="0" borderId="19" xfId="0" applyFont="1" applyBorder="1" applyAlignment="1">
      <alignment horizontal="center"/>
    </xf>
    <xf numFmtId="0" fontId="88" fillId="0" borderId="13" xfId="0" applyFont="1" applyBorder="1" applyAlignment="1">
      <alignment horizontal="center" vertical="center" wrapText="1"/>
    </xf>
    <xf numFmtId="0" fontId="75" fillId="0" borderId="0" xfId="0" applyFont="1" applyBorder="1" applyAlignment="1">
      <alignment horizontal="center" vertical="center"/>
    </xf>
    <xf numFmtId="0" fontId="83" fillId="0" borderId="19" xfId="0" applyFont="1" applyBorder="1" applyAlignment="1">
      <alignment horizontal="left"/>
    </xf>
    <xf numFmtId="0" fontId="83" fillId="0" borderId="0" xfId="0" applyFont="1" applyBorder="1" applyAlignment="1">
      <alignment horizontal="left"/>
    </xf>
    <xf numFmtId="0" fontId="83" fillId="0" borderId="83" xfId="0" applyFont="1" applyBorder="1"/>
    <xf numFmtId="181" fontId="83" fillId="0" borderId="31" xfId="72" applyNumberFormat="1" applyFont="1" applyBorder="1"/>
    <xf numFmtId="0" fontId="83" fillId="0" borderId="95" xfId="0" applyFont="1" applyBorder="1" applyAlignment="1">
      <alignment horizontal="left" wrapText="1"/>
    </xf>
    <xf numFmtId="0" fontId="83" fillId="0" borderId="12" xfId="0" applyFont="1" applyBorder="1" applyAlignment="1">
      <alignment horizontal="left" wrapText="1"/>
    </xf>
    <xf numFmtId="0" fontId="83" fillId="0" borderId="12" xfId="0" applyFont="1" applyBorder="1"/>
    <xf numFmtId="181" fontId="83" fillId="0" borderId="12" xfId="72" applyNumberFormat="1" applyFont="1" applyBorder="1"/>
    <xf numFmtId="0" fontId="91" fillId="0" borderId="0" xfId="0" applyFont="1" applyAlignment="1">
      <alignment horizontal="left" vertical="center"/>
    </xf>
    <xf numFmtId="0" fontId="0" fillId="0" borderId="0" xfId="0" applyAlignment="1">
      <alignment vertical="center"/>
    </xf>
    <xf numFmtId="0" fontId="92" fillId="0" borderId="16" xfId="0" applyFont="1" applyBorder="1" applyAlignment="1">
      <alignment horizontal="left"/>
    </xf>
    <xf numFmtId="0" fontId="93" fillId="0" borderId="17" xfId="0" applyFont="1" applyBorder="1"/>
    <xf numFmtId="0" fontId="94" fillId="0" borderId="17" xfId="0" applyFont="1" applyBorder="1"/>
    <xf numFmtId="0" fontId="94" fillId="0" borderId="17" xfId="0" applyFont="1" applyBorder="1" applyAlignment="1">
      <alignment horizontal="center"/>
    </xf>
    <xf numFmtId="0" fontId="42" fillId="0" borderId="17" xfId="0" applyFont="1" applyBorder="1"/>
    <xf numFmtId="0" fontId="75" fillId="0" borderId="17" xfId="0" applyFont="1" applyBorder="1"/>
    <xf numFmtId="0" fontId="75" fillId="0" borderId="18" xfId="0" applyFont="1" applyBorder="1"/>
    <xf numFmtId="0" fontId="93" fillId="0" borderId="19" xfId="0" applyFont="1" applyBorder="1"/>
    <xf numFmtId="0" fontId="93" fillId="0" borderId="0" xfId="0" applyFont="1" applyBorder="1"/>
    <xf numFmtId="0" fontId="42" fillId="0" borderId="0" xfId="0" applyFont="1" applyBorder="1"/>
    <xf numFmtId="0" fontId="2" fillId="0" borderId="0" xfId="0" applyFont="1" applyBorder="1" applyAlignment="1">
      <alignment horizontal="left"/>
    </xf>
    <xf numFmtId="10" fontId="93" fillId="0" borderId="0" xfId="0" applyNumberFormat="1" applyFont="1" applyBorder="1"/>
    <xf numFmtId="0" fontId="91" fillId="0" borderId="0" xfId="0" applyFont="1" applyAlignment="1">
      <alignment horizontal="center"/>
    </xf>
    <xf numFmtId="182" fontId="94" fillId="28" borderId="42" xfId="71" applyNumberFormat="1" applyFont="1" applyFill="1" applyBorder="1"/>
    <xf numFmtId="182" fontId="93" fillId="0" borderId="0" xfId="71" applyNumberFormat="1" applyFont="1" applyBorder="1"/>
    <xf numFmtId="9" fontId="93" fillId="0" borderId="0" xfId="0" applyNumberFormat="1" applyFont="1" applyBorder="1"/>
    <xf numFmtId="43" fontId="93" fillId="0" borderId="0" xfId="71" applyFont="1" applyBorder="1"/>
    <xf numFmtId="0" fontId="91" fillId="0" borderId="0" xfId="0" applyFont="1" applyAlignment="1">
      <alignment horizontal="left"/>
    </xf>
    <xf numFmtId="0" fontId="93" fillId="0" borderId="0" xfId="0" applyFont="1" applyBorder="1" applyAlignment="1">
      <alignment horizontal="right"/>
    </xf>
    <xf numFmtId="10" fontId="93" fillId="0" borderId="93" xfId="0" applyNumberFormat="1" applyFont="1" applyBorder="1"/>
    <xf numFmtId="0" fontId="83" fillId="0" borderId="0" xfId="0" applyFont="1" applyBorder="1" applyAlignment="1">
      <alignment horizontal="right"/>
    </xf>
    <xf numFmtId="0" fontId="42" fillId="0" borderId="81" xfId="0" applyFont="1" applyBorder="1"/>
    <xf numFmtId="0" fontId="93" fillId="0" borderId="11" xfId="0" applyFont="1" applyBorder="1" applyAlignment="1">
      <alignment horizontal="right"/>
    </xf>
    <xf numFmtId="10" fontId="93" fillId="0" borderId="30" xfId="0" applyNumberFormat="1" applyFont="1" applyBorder="1"/>
    <xf numFmtId="0" fontId="93" fillId="0" borderId="12" xfId="0" applyFont="1" applyBorder="1"/>
    <xf numFmtId="10" fontId="93" fillId="0" borderId="0" xfId="70" applyNumberFormat="1" applyFont="1" applyBorder="1"/>
    <xf numFmtId="0" fontId="94" fillId="0" borderId="0" xfId="0" applyFont="1" applyBorder="1" applyAlignment="1">
      <alignment horizontal="right"/>
    </xf>
    <xf numFmtId="10" fontId="94" fillId="0" borderId="21" xfId="0" applyNumberFormat="1" applyFont="1" applyFill="1" applyBorder="1"/>
    <xf numFmtId="10" fontId="94" fillId="0" borderId="22" xfId="0" applyNumberFormat="1" applyFont="1" applyFill="1" applyBorder="1"/>
    <xf numFmtId="10" fontId="94" fillId="29" borderId="42" xfId="0" applyNumberFormat="1" applyFont="1" applyFill="1" applyBorder="1"/>
    <xf numFmtId="0" fontId="94" fillId="0" borderId="0" xfId="0" quotePrefix="1" applyFont="1" applyFill="1" applyBorder="1"/>
    <xf numFmtId="0" fontId="42" fillId="0" borderId="0" xfId="0" applyFont="1" applyFill="1" applyBorder="1"/>
    <xf numFmtId="10" fontId="93" fillId="0" borderId="0" xfId="0" applyNumberFormat="1" applyFont="1" applyBorder="1" applyAlignment="1">
      <alignment vertical="center"/>
    </xf>
    <xf numFmtId="10" fontId="94" fillId="29" borderId="42" xfId="70" applyNumberFormat="1" applyFont="1" applyFill="1" applyBorder="1"/>
    <xf numFmtId="0" fontId="91" fillId="0" borderId="0" xfId="0" quotePrefix="1" applyFont="1" applyFill="1"/>
    <xf numFmtId="0" fontId="93" fillId="0" borderId="11" xfId="0" applyFont="1" applyBorder="1"/>
    <xf numFmtId="0" fontId="75" fillId="0" borderId="95" xfId="0" applyFont="1" applyBorder="1"/>
    <xf numFmtId="0" fontId="75" fillId="0" borderId="12" xfId="0" applyFont="1" applyBorder="1"/>
    <xf numFmtId="0" fontId="75" fillId="0" borderId="96" xfId="0" applyFont="1" applyBorder="1"/>
    <xf numFmtId="0" fontId="0" fillId="0" borderId="0" xfId="0" applyFill="1"/>
    <xf numFmtId="0" fontId="88" fillId="0" borderId="0" xfId="0" applyFont="1" applyFill="1" applyBorder="1"/>
    <xf numFmtId="2" fontId="0" fillId="0" borderId="0" xfId="0" applyNumberFormat="1"/>
    <xf numFmtId="0" fontId="0" fillId="0" borderId="11" xfId="0" applyBorder="1"/>
    <xf numFmtId="0" fontId="0" fillId="0" borderId="70" xfId="0" applyBorder="1"/>
    <xf numFmtId="0" fontId="0" fillId="0" borderId="13" xfId="0" applyBorder="1" applyAlignment="1">
      <alignment horizontal="center"/>
    </xf>
    <xf numFmtId="10" fontId="56" fillId="0" borderId="13" xfId="55" applyNumberFormat="1" applyFont="1" applyFill="1" applyBorder="1" applyAlignment="1">
      <alignment horizontal="right" vertical="center" wrapText="1"/>
    </xf>
    <xf numFmtId="17" fontId="44" fillId="0" borderId="13" xfId="50" applyNumberFormat="1" applyFont="1" applyBorder="1" applyAlignment="1">
      <alignment horizontal="left" vertical="center" wrapText="1"/>
    </xf>
    <xf numFmtId="0" fontId="48" fillId="0" borderId="13" xfId="50" applyFont="1" applyBorder="1" applyAlignment="1">
      <alignment horizontal="center" vertical="center" wrapText="1"/>
    </xf>
    <xf numFmtId="0" fontId="56" fillId="0" borderId="13" xfId="50" applyFont="1" applyBorder="1" applyAlignment="1">
      <alignment horizontal="left" vertical="center" wrapText="1"/>
    </xf>
    <xf numFmtId="0" fontId="48" fillId="0" borderId="13" xfId="50" applyFont="1" applyBorder="1" applyAlignment="1">
      <alignment horizontal="left" vertical="center" wrapText="1"/>
    </xf>
    <xf numFmtId="0" fontId="48" fillId="0" borderId="0" xfId="50" applyFont="1" applyBorder="1" applyAlignment="1">
      <alignment horizontal="left" vertical="center" wrapText="1"/>
    </xf>
    <xf numFmtId="10" fontId="42" fillId="0" borderId="0" xfId="55" applyNumberFormat="1" applyFont="1"/>
    <xf numFmtId="10" fontId="48" fillId="0" borderId="13" xfId="55" applyNumberFormat="1" applyFont="1" applyFill="1" applyBorder="1" applyAlignment="1">
      <alignment horizontal="right" vertical="center" wrapText="1"/>
    </xf>
    <xf numFmtId="10" fontId="42" fillId="0" borderId="13" xfId="55" applyNumberFormat="1" applyFont="1" applyBorder="1" applyAlignment="1">
      <alignment vertical="center"/>
    </xf>
    <xf numFmtId="10" fontId="54" fillId="0" borderId="13" xfId="55" applyNumberFormat="1" applyFont="1" applyBorder="1" applyAlignment="1">
      <alignment vertical="center"/>
    </xf>
    <xf numFmtId="1" fontId="0" fillId="24" borderId="21" xfId="0" applyNumberFormat="1" applyFont="1" applyFill="1" applyBorder="1" applyAlignment="1" applyProtection="1">
      <alignment horizontal="center" vertical="center"/>
      <protection hidden="1"/>
    </xf>
    <xf numFmtId="1" fontId="0" fillId="24" borderId="72" xfId="0" applyNumberFormat="1" applyFont="1" applyFill="1" applyBorder="1" applyAlignment="1" applyProtection="1">
      <alignment horizontal="center" vertical="center"/>
      <protection hidden="1"/>
    </xf>
    <xf numFmtId="1" fontId="33" fillId="24" borderId="43" xfId="37" applyNumberFormat="1" applyFont="1" applyFill="1" applyBorder="1" applyAlignment="1" applyProtection="1">
      <alignment horizontal="center" vertical="center"/>
      <protection hidden="1"/>
    </xf>
    <xf numFmtId="1" fontId="0" fillId="24" borderId="15" xfId="0" applyNumberFormat="1" applyFont="1" applyFill="1" applyBorder="1" applyAlignment="1" applyProtection="1">
      <alignment horizontal="center" vertical="center"/>
      <protection hidden="1"/>
    </xf>
    <xf numFmtId="1" fontId="0" fillId="24" borderId="14" xfId="0" applyNumberFormat="1" applyFont="1" applyFill="1" applyBorder="1" applyAlignment="1" applyProtection="1">
      <alignment horizontal="center" vertical="center"/>
      <protection hidden="1"/>
    </xf>
    <xf numFmtId="1" fontId="33" fillId="24" borderId="44" xfId="37" applyNumberFormat="1" applyFont="1" applyFill="1" applyBorder="1" applyAlignment="1" applyProtection="1">
      <alignment horizontal="center" vertical="center"/>
      <protection hidden="1"/>
    </xf>
    <xf numFmtId="1" fontId="39" fillId="24" borderId="15" xfId="0" applyNumberFormat="1" applyFont="1" applyFill="1" applyBorder="1" applyAlignment="1" applyProtection="1">
      <alignment horizontal="center" vertical="center"/>
      <protection hidden="1"/>
    </xf>
    <xf numFmtId="1" fontId="39" fillId="24" borderId="14" xfId="0" applyNumberFormat="1" applyFont="1" applyFill="1" applyBorder="1" applyAlignment="1" applyProtection="1">
      <alignment horizontal="center" vertical="center"/>
      <protection hidden="1"/>
    </xf>
    <xf numFmtId="1" fontId="39" fillId="24" borderId="44" xfId="37" applyNumberFormat="1" applyFont="1" applyFill="1" applyBorder="1" applyAlignment="1" applyProtection="1">
      <alignment horizontal="center" vertical="center"/>
      <protection hidden="1"/>
    </xf>
    <xf numFmtId="1" fontId="0" fillId="24" borderId="68" xfId="0" applyNumberFormat="1" applyFont="1" applyFill="1" applyBorder="1" applyAlignment="1" applyProtection="1">
      <alignment horizontal="center" vertical="center"/>
      <protection hidden="1"/>
    </xf>
    <xf numFmtId="1" fontId="0" fillId="24" borderId="11" xfId="0" applyNumberFormat="1" applyFont="1" applyFill="1" applyBorder="1" applyAlignment="1" applyProtection="1">
      <alignment horizontal="center" vertical="center"/>
      <protection hidden="1"/>
    </xf>
    <xf numFmtId="1" fontId="0" fillId="24" borderId="70" xfId="0" applyNumberFormat="1" applyFont="1" applyFill="1" applyBorder="1" applyAlignment="1" applyProtection="1">
      <alignment horizontal="center" vertical="center"/>
      <protection hidden="1"/>
    </xf>
    <xf numFmtId="1" fontId="0" fillId="24" borderId="44" xfId="0" applyNumberFormat="1" applyFont="1" applyFill="1" applyBorder="1" applyAlignment="1" applyProtection="1">
      <alignment horizontal="center" vertical="center"/>
      <protection hidden="1"/>
    </xf>
    <xf numFmtId="1" fontId="39" fillId="24" borderId="44" xfId="0" applyNumberFormat="1" applyFont="1" applyFill="1" applyBorder="1" applyAlignment="1" applyProtection="1">
      <alignment horizontal="center" vertical="center"/>
      <protection hidden="1"/>
    </xf>
    <xf numFmtId="1" fontId="39" fillId="24" borderId="22" xfId="0" applyNumberFormat="1" applyFont="1" applyFill="1" applyBorder="1" applyAlignment="1" applyProtection="1">
      <alignment horizontal="center" vertical="center"/>
      <protection hidden="1"/>
    </xf>
    <xf numFmtId="1" fontId="39" fillId="24" borderId="73" xfId="0" applyNumberFormat="1" applyFont="1" applyFill="1" applyBorder="1" applyAlignment="1" applyProtection="1">
      <alignment horizontal="center" vertical="center"/>
      <protection hidden="1"/>
    </xf>
    <xf numFmtId="1" fontId="39" fillId="24" borderId="45" xfId="0" applyNumberFormat="1" applyFont="1" applyFill="1" applyBorder="1" applyAlignment="1" applyProtection="1">
      <alignment horizontal="center" vertical="center"/>
      <protection hidden="1"/>
    </xf>
    <xf numFmtId="0" fontId="0" fillId="24" borderId="0" xfId="0" applyFill="1" applyBorder="1" applyAlignment="1">
      <alignment horizontal="center"/>
    </xf>
    <xf numFmtId="0" fontId="0" fillId="24" borderId="101" xfId="0" applyFill="1" applyBorder="1"/>
    <xf numFmtId="10" fontId="100" fillId="0" borderId="67" xfId="0" applyNumberFormat="1" applyFont="1" applyFill="1" applyBorder="1"/>
    <xf numFmtId="10" fontId="100" fillId="0" borderId="62" xfId="0" applyNumberFormat="1" applyFont="1" applyFill="1" applyBorder="1"/>
    <xf numFmtId="188" fontId="100" fillId="0" borderId="62" xfId="0" applyNumberFormat="1" applyFont="1" applyFill="1" applyBorder="1"/>
    <xf numFmtId="10" fontId="101" fillId="0" borderId="105" xfId="55" applyNumberFormat="1" applyFont="1" applyFill="1" applyBorder="1"/>
    <xf numFmtId="10" fontId="0" fillId="0" borderId="0" xfId="0" applyNumberFormat="1" applyFill="1"/>
    <xf numFmtId="10" fontId="100" fillId="0" borderId="61" xfId="0" applyNumberFormat="1" applyFont="1" applyFill="1" applyBorder="1"/>
    <xf numFmtId="2" fontId="100" fillId="0" borderId="103" xfId="0" applyNumberFormat="1" applyFont="1" applyFill="1" applyBorder="1"/>
    <xf numFmtId="10" fontId="100" fillId="0" borderId="103" xfId="55" applyNumberFormat="1" applyFont="1" applyFill="1" applyBorder="1"/>
    <xf numFmtId="3" fontId="0" fillId="24" borderId="25" xfId="0" applyNumberFormat="1" applyFill="1" applyBorder="1"/>
    <xf numFmtId="173" fontId="0" fillId="24" borderId="0" xfId="55" applyNumberFormat="1" applyFont="1" applyFill="1" applyBorder="1"/>
    <xf numFmtId="43" fontId="0" fillId="24" borderId="0" xfId="37" applyFont="1" applyFill="1"/>
    <xf numFmtId="3" fontId="48" fillId="0" borderId="0" xfId="0" applyNumberFormat="1" applyFont="1" applyFill="1" applyBorder="1" applyAlignment="1">
      <alignment horizontal="right" vertical="center" wrapText="1"/>
    </xf>
    <xf numFmtId="10" fontId="48" fillId="0" borderId="0" xfId="55" applyNumberFormat="1" applyFont="1" applyFill="1" applyBorder="1" applyAlignment="1">
      <alignment horizontal="right" vertical="center" wrapText="1"/>
    </xf>
    <xf numFmtId="10" fontId="54" fillId="0" borderId="0" xfId="55" applyNumberFormat="1" applyFont="1" applyBorder="1" applyAlignment="1">
      <alignment vertical="center"/>
    </xf>
    <xf numFmtId="10" fontId="56" fillId="0" borderId="0" xfId="55" applyNumberFormat="1" applyFont="1" applyFill="1" applyBorder="1" applyAlignment="1">
      <alignment horizontal="right" vertical="center" wrapText="1"/>
    </xf>
    <xf numFmtId="10" fontId="0" fillId="0" borderId="0" xfId="55" applyNumberFormat="1" applyFont="1" applyBorder="1"/>
    <xf numFmtId="0" fontId="104" fillId="0" borderId="13" xfId="0" applyFont="1" applyFill="1" applyBorder="1" applyAlignment="1">
      <alignment horizontal="left" vertical="top" wrapText="1"/>
    </xf>
    <xf numFmtId="0" fontId="107" fillId="0" borderId="13" xfId="95" applyFont="1" applyFill="1" applyBorder="1" applyAlignment="1">
      <alignment horizontal="left" indent="1"/>
    </xf>
    <xf numFmtId="0" fontId="106" fillId="0" borderId="13" xfId="94" applyFont="1" applyFill="1" applyBorder="1" applyAlignment="1">
      <alignment horizontal="center" vertical="center"/>
    </xf>
    <xf numFmtId="182" fontId="104" fillId="0" borderId="13" xfId="37" applyNumberFormat="1" applyFont="1" applyFill="1" applyBorder="1" applyAlignment="1">
      <alignment horizontal="right" vertical="center" wrapText="1"/>
    </xf>
    <xf numFmtId="43" fontId="105" fillId="0" borderId="13" xfId="37" applyFont="1" applyFill="1" applyBorder="1" applyAlignment="1">
      <alignment vertical="center"/>
    </xf>
    <xf numFmtId="182" fontId="107" fillId="0" borderId="13" xfId="0" applyNumberFormat="1" applyFont="1" applyFill="1" applyBorder="1" applyAlignment="1">
      <alignment vertical="center"/>
    </xf>
    <xf numFmtId="0" fontId="0" fillId="0" borderId="0" xfId="0" applyFill="1" applyBorder="1"/>
    <xf numFmtId="10" fontId="105" fillId="0" borderId="13" xfId="0" applyNumberFormat="1" applyFont="1" applyFill="1" applyBorder="1" applyAlignment="1">
      <alignment vertical="center"/>
    </xf>
    <xf numFmtId="182" fontId="107" fillId="0" borderId="13" xfId="37" applyNumberFormat="1" applyFont="1" applyFill="1" applyBorder="1" applyAlignment="1">
      <alignment vertical="center"/>
    </xf>
    <xf numFmtId="182" fontId="104" fillId="33" borderId="13" xfId="37" applyNumberFormat="1" applyFont="1" applyFill="1" applyBorder="1" applyAlignment="1">
      <alignment horizontal="right" vertical="center" wrapText="1"/>
    </xf>
    <xf numFmtId="189" fontId="104" fillId="36" borderId="13" xfId="0" applyNumberFormat="1" applyFont="1" applyFill="1" applyBorder="1" applyAlignment="1">
      <alignment horizontal="right" vertical="center" wrapText="1"/>
    </xf>
    <xf numFmtId="10" fontId="107" fillId="35" borderId="13" xfId="0" applyNumberFormat="1" applyFont="1" applyFill="1" applyBorder="1" applyAlignment="1">
      <alignment vertical="center"/>
    </xf>
    <xf numFmtId="10" fontId="0" fillId="24" borderId="0" xfId="55" applyNumberFormat="1" applyFont="1" applyFill="1" applyBorder="1"/>
    <xf numFmtId="10" fontId="0" fillId="24" borderId="11" xfId="55" applyNumberFormat="1" applyFont="1" applyFill="1" applyBorder="1"/>
    <xf numFmtId="3" fontId="33" fillId="24" borderId="92" xfId="37" applyNumberFormat="1" applyFont="1" applyFill="1" applyBorder="1" applyAlignment="1">
      <alignment horizontal="right" vertical="center"/>
    </xf>
    <xf numFmtId="10" fontId="33" fillId="24" borderId="25" xfId="55" applyNumberFormat="1" applyFont="1" applyFill="1" applyBorder="1" applyAlignment="1">
      <alignment horizontal="right" vertical="center"/>
    </xf>
    <xf numFmtId="10" fontId="33" fillId="24" borderId="26" xfId="55" applyNumberFormat="1" applyFont="1" applyFill="1" applyBorder="1" applyAlignment="1">
      <alignment horizontal="right" vertical="center"/>
    </xf>
    <xf numFmtId="10" fontId="33" fillId="24" borderId="27" xfId="55" applyNumberFormat="1" applyFont="1" applyFill="1" applyBorder="1" applyAlignment="1">
      <alignment horizontal="right" vertical="center"/>
    </xf>
    <xf numFmtId="10" fontId="0" fillId="24" borderId="13" xfId="55" applyNumberFormat="1" applyFont="1" applyFill="1" applyBorder="1" applyAlignment="1">
      <alignment horizontal="right"/>
    </xf>
    <xf numFmtId="3" fontId="33" fillId="24" borderId="94" xfId="37" applyNumberFormat="1" applyFont="1" applyFill="1" applyBorder="1" applyAlignment="1">
      <alignment horizontal="right" vertical="center"/>
    </xf>
    <xf numFmtId="0" fontId="36" fillId="24" borderId="108" xfId="0" applyFont="1" applyFill="1" applyBorder="1" applyAlignment="1">
      <alignment horizontal="left" vertical="center" wrapText="1"/>
    </xf>
    <xf numFmtId="0" fontId="36" fillId="24" borderId="54" xfId="0" applyFont="1" applyFill="1" applyBorder="1" applyAlignment="1">
      <alignment horizontal="left" vertical="center" wrapText="1"/>
    </xf>
    <xf numFmtId="2" fontId="33" fillId="24" borderId="106" xfId="55" applyNumberFormat="1" applyFont="1" applyFill="1" applyBorder="1" applyAlignment="1">
      <alignment horizontal="center" vertical="center"/>
    </xf>
    <xf numFmtId="173" fontId="0" fillId="0" borderId="0" xfId="55" applyNumberFormat="1" applyFont="1"/>
    <xf numFmtId="0" fontId="108" fillId="24" borderId="13" xfId="0" applyFont="1" applyFill="1" applyBorder="1"/>
    <xf numFmtId="0" fontId="108" fillId="24" borderId="13" xfId="0" applyFont="1" applyFill="1" applyBorder="1" applyAlignment="1">
      <alignment horizontal="center" vertical="center"/>
    </xf>
    <xf numFmtId="0" fontId="109" fillId="24" borderId="13" xfId="0" applyFont="1" applyFill="1" applyBorder="1"/>
    <xf numFmtId="3" fontId="109" fillId="24" borderId="13" xfId="0" applyNumberFormat="1" applyFont="1" applyFill="1" applyBorder="1"/>
    <xf numFmtId="9" fontId="109" fillId="0" borderId="13" xfId="55" applyFont="1" applyBorder="1"/>
    <xf numFmtId="0" fontId="108" fillId="24" borderId="13" xfId="0" applyFont="1" applyFill="1" applyBorder="1" applyAlignment="1">
      <alignment wrapText="1"/>
    </xf>
    <xf numFmtId="3" fontId="109" fillId="24" borderId="13" xfId="37" applyNumberFormat="1" applyFont="1" applyFill="1" applyBorder="1" applyAlignment="1">
      <alignment horizontal="right" vertical="center"/>
    </xf>
    <xf numFmtId="0" fontId="108" fillId="0" borderId="13" xfId="0" applyFont="1" applyBorder="1"/>
    <xf numFmtId="43" fontId="27" fillId="23" borderId="35" xfId="37" applyNumberFormat="1" applyFont="1" applyFill="1" applyBorder="1" applyAlignment="1">
      <alignment horizontal="center"/>
    </xf>
    <xf numFmtId="3" fontId="56" fillId="0" borderId="83" xfId="0" applyNumberFormat="1" applyFont="1" applyFill="1" applyBorder="1" applyAlignment="1">
      <alignment horizontal="right" vertical="center" wrapText="1"/>
    </xf>
    <xf numFmtId="3" fontId="48" fillId="0" borderId="83" xfId="0" applyNumberFormat="1" applyFont="1" applyFill="1" applyBorder="1" applyAlignment="1">
      <alignment horizontal="right" vertical="center" wrapText="1"/>
    </xf>
    <xf numFmtId="0" fontId="54" fillId="0" borderId="0" xfId="0" applyFont="1"/>
    <xf numFmtId="0" fontId="30" fillId="22" borderId="82" xfId="0" applyFont="1" applyFill="1" applyBorder="1" applyAlignment="1">
      <alignment horizontal="center"/>
    </xf>
    <xf numFmtId="0" fontId="0" fillId="0" borderId="83" xfId="0" applyBorder="1"/>
    <xf numFmtId="43" fontId="31" fillId="0" borderId="83" xfId="37" applyNumberFormat="1" applyFont="1" applyBorder="1"/>
    <xf numFmtId="43" fontId="31" fillId="0" borderId="99" xfId="37" applyNumberFormat="1" applyFont="1" applyBorder="1"/>
    <xf numFmtId="2" fontId="0" fillId="0" borderId="82" xfId="0" applyNumberFormat="1" applyBorder="1"/>
    <xf numFmtId="0" fontId="54" fillId="0" borderId="110" xfId="0" applyNumberFormat="1" applyFont="1" applyBorder="1" applyAlignment="1">
      <alignment horizontal="center" vertical="center" wrapText="1"/>
    </xf>
    <xf numFmtId="3" fontId="42" fillId="0" borderId="83" xfId="0" applyNumberFormat="1" applyFont="1" applyBorder="1" applyAlignment="1">
      <alignment wrapText="1"/>
    </xf>
    <xf numFmtId="3" fontId="46" fillId="0" borderId="83" xfId="50" applyNumberFormat="1" applyFont="1" applyBorder="1"/>
    <xf numFmtId="3" fontId="45" fillId="0" borderId="83" xfId="50" applyNumberFormat="1" applyFont="1" applyBorder="1"/>
    <xf numFmtId="3" fontId="54" fillId="0" borderId="83" xfId="0" applyNumberFormat="1" applyFont="1" applyBorder="1" applyAlignment="1">
      <alignment wrapText="1"/>
    </xf>
    <xf numFmtId="43" fontId="31" fillId="24" borderId="83" xfId="37" applyNumberFormat="1" applyFont="1" applyFill="1" applyBorder="1"/>
    <xf numFmtId="43" fontId="31" fillId="24" borderId="99" xfId="37" applyNumberFormat="1" applyFont="1" applyFill="1" applyBorder="1"/>
    <xf numFmtId="0" fontId="32" fillId="24" borderId="99" xfId="0" applyFont="1" applyFill="1" applyBorder="1" applyAlignment="1">
      <alignment horizontal="center" wrapText="1"/>
    </xf>
    <xf numFmtId="0" fontId="0" fillId="24" borderId="111" xfId="0" applyFill="1" applyBorder="1"/>
    <xf numFmtId="0" fontId="32" fillId="0" borderId="38" xfId="0" applyFont="1" applyBorder="1" applyAlignment="1">
      <alignment horizontal="center" wrapText="1"/>
    </xf>
    <xf numFmtId="0" fontId="0" fillId="24" borderId="83" xfId="0" applyFill="1" applyBorder="1" applyAlignment="1">
      <alignment horizontal="center" vertical="center"/>
    </xf>
    <xf numFmtId="0" fontId="0" fillId="24" borderId="0" xfId="0" applyFill="1" applyBorder="1" applyAlignment="1">
      <alignment horizontal="justify" vertical="center" wrapText="1"/>
    </xf>
    <xf numFmtId="0" fontId="36" fillId="24" borderId="82" xfId="0" applyFont="1" applyFill="1" applyBorder="1" applyAlignment="1">
      <alignment horizontal="center" vertical="center"/>
    </xf>
    <xf numFmtId="3" fontId="0" fillId="24" borderId="83" xfId="0" applyNumberFormat="1" applyFont="1" applyFill="1" applyBorder="1" applyAlignment="1">
      <alignment horizontal="right" vertical="center"/>
    </xf>
    <xf numFmtId="3" fontId="0" fillId="0" borderId="83" xfId="0" applyNumberFormat="1" applyBorder="1" applyAlignment="1">
      <alignment horizontal="right" vertical="center"/>
    </xf>
    <xf numFmtId="3" fontId="0" fillId="24" borderId="91" xfId="0" applyNumberFormat="1" applyFont="1" applyFill="1" applyBorder="1" applyAlignment="1">
      <alignment horizontal="right" vertical="center"/>
    </xf>
    <xf numFmtId="3" fontId="0" fillId="24" borderId="112" xfId="0" applyNumberFormat="1" applyFill="1" applyBorder="1"/>
    <xf numFmtId="0" fontId="54" fillId="0" borderId="110" xfId="0" applyFont="1" applyBorder="1" applyAlignment="1">
      <alignment horizontal="center"/>
    </xf>
    <xf numFmtId="3" fontId="42" fillId="0" borderId="83" xfId="0" applyNumberFormat="1" applyFont="1" applyBorder="1"/>
    <xf numFmtId="172" fontId="42" fillId="0" borderId="83" xfId="37" applyNumberFormat="1" applyFont="1" applyBorder="1"/>
    <xf numFmtId="3" fontId="42" fillId="0" borderId="114" xfId="0" applyNumberFormat="1" applyFont="1" applyBorder="1"/>
    <xf numFmtId="1" fontId="42" fillId="0" borderId="83" xfId="37" applyNumberFormat="1" applyFont="1" applyBorder="1"/>
    <xf numFmtId="0" fontId="42" fillId="0" borderId="92" xfId="0" applyFont="1" applyBorder="1"/>
    <xf numFmtId="172" fontId="42" fillId="0" borderId="62" xfId="37" applyNumberFormat="1" applyFont="1" applyBorder="1"/>
    <xf numFmtId="3" fontId="42" fillId="0" borderId="64" xfId="0" applyNumberFormat="1" applyFont="1" applyBorder="1"/>
    <xf numFmtId="0" fontId="54" fillId="0" borderId="0" xfId="0" applyFont="1" applyBorder="1" applyAlignment="1">
      <alignment horizontal="center"/>
    </xf>
    <xf numFmtId="3" fontId="42" fillId="0" borderId="0" xfId="0" applyNumberFormat="1" applyFont="1" applyBorder="1"/>
    <xf numFmtId="172" fontId="42" fillId="0" borderId="0" xfId="37" applyNumberFormat="1" applyFont="1" applyBorder="1"/>
    <xf numFmtId="1" fontId="42" fillId="0" borderId="0" xfId="37" applyNumberFormat="1" applyFont="1" applyBorder="1"/>
    <xf numFmtId="10" fontId="42" fillId="0" borderId="0" xfId="55" applyNumberFormat="1" applyFont="1" applyBorder="1"/>
    <xf numFmtId="0" fontId="42" fillId="0" borderId="94" xfId="0" applyFont="1" applyBorder="1" applyAlignment="1">
      <alignment wrapText="1"/>
    </xf>
    <xf numFmtId="3" fontId="54" fillId="0" borderId="114" xfId="0" applyNumberFormat="1" applyFont="1" applyBorder="1" applyAlignment="1">
      <alignment wrapText="1"/>
    </xf>
    <xf numFmtId="0" fontId="54" fillId="0" borderId="67" xfId="0" applyFont="1" applyFill="1" applyBorder="1" applyAlignment="1">
      <alignment horizontal="center" vertical="center" wrapText="1"/>
    </xf>
    <xf numFmtId="0" fontId="0" fillId="0" borderId="61" xfId="0" applyBorder="1"/>
    <xf numFmtId="0" fontId="54" fillId="0" borderId="110" xfId="0" applyFont="1" applyBorder="1" applyAlignment="1">
      <alignment horizontal="center" vertical="center" wrapText="1"/>
    </xf>
    <xf numFmtId="3" fontId="36" fillId="0" borderId="62" xfId="0" applyNumberFormat="1" applyFont="1" applyBorder="1"/>
    <xf numFmtId="3" fontId="36" fillId="0" borderId="64" xfId="0" applyNumberFormat="1" applyFont="1" applyBorder="1"/>
    <xf numFmtId="3" fontId="0" fillId="24" borderId="83" xfId="0" applyNumberFormat="1" applyFill="1" applyBorder="1"/>
    <xf numFmtId="3" fontId="0" fillId="24" borderId="91" xfId="0" applyNumberFormat="1" applyFill="1" applyBorder="1"/>
    <xf numFmtId="3" fontId="33" fillId="0" borderId="114" xfId="37" applyNumberFormat="1" applyFont="1" applyBorder="1"/>
    <xf numFmtId="3" fontId="56" fillId="0" borderId="116" xfId="0" applyNumberFormat="1" applyFont="1" applyFill="1" applyBorder="1" applyAlignment="1">
      <alignment horizontal="right" vertical="center" wrapText="1"/>
    </xf>
    <xf numFmtId="3" fontId="56" fillId="0" borderId="62" xfId="0" applyNumberFormat="1" applyFont="1" applyFill="1" applyBorder="1" applyAlignment="1">
      <alignment horizontal="right" vertical="center" wrapText="1"/>
    </xf>
    <xf numFmtId="3" fontId="48" fillId="0" borderId="62" xfId="0" applyNumberFormat="1" applyFont="1" applyFill="1" applyBorder="1" applyAlignment="1">
      <alignment horizontal="right" vertical="center" wrapText="1"/>
    </xf>
    <xf numFmtId="3" fontId="56" fillId="0" borderId="117" xfId="0" applyNumberFormat="1" applyFont="1" applyFill="1" applyBorder="1" applyAlignment="1">
      <alignment horizontal="right" vertical="center" wrapText="1"/>
    </xf>
    <xf numFmtId="3" fontId="56" fillId="0" borderId="37" xfId="0" applyNumberFormat="1" applyFont="1" applyFill="1" applyBorder="1" applyAlignment="1">
      <alignment horizontal="right" vertical="center" wrapText="1"/>
    </xf>
    <xf numFmtId="3" fontId="56" fillId="0" borderId="114" xfId="0" applyNumberFormat="1" applyFont="1" applyFill="1" applyBorder="1" applyAlignment="1">
      <alignment horizontal="right" vertical="center" wrapText="1"/>
    </xf>
    <xf numFmtId="3" fontId="56" fillId="0" borderId="64" xfId="0" applyNumberFormat="1" applyFont="1" applyFill="1" applyBorder="1" applyAlignment="1">
      <alignment horizontal="right" vertical="center" wrapText="1"/>
    </xf>
    <xf numFmtId="0" fontId="0" fillId="24" borderId="65" xfId="0" applyFill="1" applyBorder="1"/>
    <xf numFmtId="3" fontId="0" fillId="24" borderId="66" xfId="0" applyNumberFormat="1" applyFill="1" applyBorder="1"/>
    <xf numFmtId="3" fontId="0" fillId="24" borderId="110" xfId="0" applyNumberFormat="1" applyFill="1" applyBorder="1"/>
    <xf numFmtId="3" fontId="0" fillId="24" borderId="67" xfId="0" applyNumberFormat="1" applyFill="1" applyBorder="1"/>
    <xf numFmtId="0" fontId="0" fillId="24" borderId="53" xfId="0" applyFill="1" applyBorder="1"/>
    <xf numFmtId="3" fontId="0" fillId="24" borderId="62" xfId="0" applyNumberFormat="1" applyFill="1" applyBorder="1"/>
    <xf numFmtId="0" fontId="36" fillId="24" borderId="53" xfId="0" applyFont="1" applyFill="1" applyBorder="1"/>
    <xf numFmtId="3" fontId="0" fillId="24" borderId="103" xfId="0" applyNumberFormat="1" applyFill="1" applyBorder="1"/>
    <xf numFmtId="0" fontId="36" fillId="24" borderId="63" xfId="0" applyFont="1" applyFill="1" applyBorder="1"/>
    <xf numFmtId="3" fontId="33" fillId="0" borderId="64" xfId="37" applyNumberFormat="1" applyFont="1" applyBorder="1"/>
    <xf numFmtId="0" fontId="36" fillId="24" borderId="118" xfId="0" applyFont="1" applyFill="1" applyBorder="1"/>
    <xf numFmtId="3" fontId="33" fillId="0" borderId="119" xfId="37" applyNumberFormat="1" applyFont="1" applyBorder="1"/>
    <xf numFmtId="3" fontId="33" fillId="0" borderId="120" xfId="37" applyNumberFormat="1" applyFont="1" applyBorder="1"/>
    <xf numFmtId="3" fontId="33" fillId="0" borderId="121" xfId="37" applyNumberFormat="1" applyFont="1" applyBorder="1"/>
    <xf numFmtId="0" fontId="42" fillId="0" borderId="83" xfId="0" applyFont="1" applyBorder="1" applyAlignment="1">
      <alignment wrapText="1"/>
    </xf>
    <xf numFmtId="3" fontId="42" fillId="0" borderId="114" xfId="0" applyNumberFormat="1" applyFont="1" applyBorder="1" applyAlignment="1">
      <alignment wrapText="1"/>
    </xf>
    <xf numFmtId="172" fontId="33" fillId="0" borderId="83" xfId="37" applyNumberFormat="1" applyFont="1" applyBorder="1"/>
    <xf numFmtId="3" fontId="0" fillId="0" borderId="83" xfId="0" applyNumberFormat="1" applyBorder="1"/>
    <xf numFmtId="10" fontId="33" fillId="0" borderId="83" xfId="55" applyNumberFormat="1" applyFont="1" applyBorder="1"/>
    <xf numFmtId="9" fontId="0" fillId="0" borderId="83" xfId="0" applyNumberFormat="1" applyBorder="1"/>
    <xf numFmtId="173" fontId="0" fillId="0" borderId="83" xfId="0" applyNumberFormat="1" applyBorder="1"/>
    <xf numFmtId="10" fontId="0" fillId="0" borderId="83" xfId="0" applyNumberFormat="1" applyBorder="1"/>
    <xf numFmtId="43" fontId="33" fillId="0" borderId="83" xfId="37" applyFont="1" applyBorder="1"/>
    <xf numFmtId="10" fontId="33" fillId="0" borderId="114" xfId="55" applyNumberFormat="1" applyFont="1" applyBorder="1"/>
    <xf numFmtId="3" fontId="33" fillId="24" borderId="14" xfId="37" applyNumberFormat="1" applyFont="1" applyFill="1" applyBorder="1" applyAlignment="1" applyProtection="1">
      <alignment horizontal="center" vertical="center"/>
      <protection hidden="1"/>
    </xf>
    <xf numFmtId="3" fontId="33" fillId="24" borderId="15" xfId="37" applyNumberFormat="1" applyFont="1" applyFill="1" applyBorder="1" applyAlignment="1" applyProtection="1">
      <alignment horizontal="center" vertical="center"/>
      <protection hidden="1"/>
    </xf>
    <xf numFmtId="3" fontId="39" fillId="24" borderId="14" xfId="37" applyNumberFormat="1" applyFont="1" applyFill="1" applyBorder="1" applyAlignment="1" applyProtection="1">
      <alignment horizontal="center" vertical="center"/>
      <protection hidden="1"/>
    </xf>
    <xf numFmtId="3" fontId="39" fillId="24" borderId="15" xfId="37" applyNumberFormat="1" applyFont="1" applyFill="1" applyBorder="1" applyAlignment="1" applyProtection="1">
      <alignment horizontal="center" vertical="center"/>
      <protection hidden="1"/>
    </xf>
    <xf numFmtId="0" fontId="48" fillId="0" borderId="107" xfId="50" applyFont="1" applyFill="1" applyBorder="1" applyAlignment="1">
      <alignment horizontal="left" vertical="center" wrapText="1"/>
    </xf>
    <xf numFmtId="17" fontId="44" fillId="0" borderId="65" xfId="50" applyNumberFormat="1" applyFont="1" applyBorder="1" applyAlignment="1">
      <alignment horizontal="left" vertical="center" wrapText="1"/>
    </xf>
    <xf numFmtId="0" fontId="48" fillId="0" borderId="66" xfId="50" applyFont="1" applyBorder="1" applyAlignment="1">
      <alignment horizontal="center" vertical="center" wrapText="1"/>
    </xf>
    <xf numFmtId="10" fontId="42" fillId="0" borderId="13" xfId="55" applyNumberFormat="1" applyFont="1" applyBorder="1"/>
    <xf numFmtId="9" fontId="0" fillId="0" borderId="13" xfId="55" applyNumberFormat="1" applyFont="1" applyBorder="1"/>
    <xf numFmtId="9" fontId="0" fillId="0" borderId="62" xfId="55" applyNumberFormat="1" applyFont="1" applyBorder="1"/>
    <xf numFmtId="0" fontId="48" fillId="0" borderId="63" xfId="50" applyFont="1" applyBorder="1" applyAlignment="1">
      <alignment horizontal="left" vertical="center" wrapText="1"/>
    </xf>
    <xf numFmtId="3" fontId="48" fillId="0" borderId="37" xfId="0" applyNumberFormat="1" applyFont="1" applyFill="1" applyBorder="1" applyAlignment="1">
      <alignment horizontal="right" vertical="center" wrapText="1"/>
    </xf>
    <xf numFmtId="10" fontId="54" fillId="0" borderId="37" xfId="55" applyNumberFormat="1" applyFont="1" applyBorder="1"/>
    <xf numFmtId="9" fontId="36" fillId="0" borderId="37" xfId="55" applyNumberFormat="1" applyFont="1" applyBorder="1"/>
    <xf numFmtId="9" fontId="36" fillId="0" borderId="64" xfId="55" applyNumberFormat="1" applyFont="1" applyBorder="1"/>
    <xf numFmtId="9" fontId="0" fillId="0" borderId="13" xfId="55" applyFont="1" applyBorder="1"/>
    <xf numFmtId="9" fontId="0" fillId="0" borderId="62" xfId="55" applyFont="1" applyBorder="1"/>
    <xf numFmtId="9" fontId="36" fillId="0" borderId="37" xfId="55" applyFont="1" applyBorder="1"/>
    <xf numFmtId="9" fontId="36" fillId="0" borderId="64" xfId="55" applyFont="1" applyBorder="1"/>
    <xf numFmtId="0" fontId="36" fillId="0" borderId="66" xfId="0" applyFont="1" applyFill="1" applyBorder="1"/>
    <xf numFmtId="0" fontId="56" fillId="0" borderId="0" xfId="50" applyFont="1" applyBorder="1" applyAlignment="1">
      <alignment horizontal="left" vertical="center" wrapText="1"/>
    </xf>
    <xf numFmtId="3" fontId="56" fillId="0" borderId="0" xfId="0" applyNumberFormat="1" applyFont="1" applyFill="1" applyBorder="1" applyAlignment="1">
      <alignment horizontal="right" vertical="center" wrapText="1"/>
    </xf>
    <xf numFmtId="0" fontId="48" fillId="0" borderId="0" xfId="50" applyFont="1" applyFill="1" applyBorder="1" applyAlignment="1">
      <alignment horizontal="left" vertical="center" wrapText="1"/>
    </xf>
    <xf numFmtId="173" fontId="48" fillId="0" borderId="37" xfId="55" applyNumberFormat="1" applyFont="1" applyFill="1" applyBorder="1" applyAlignment="1">
      <alignment horizontal="right" vertical="center" wrapText="1"/>
    </xf>
    <xf numFmtId="0" fontId="56" fillId="0" borderId="65" xfId="50" applyFont="1" applyBorder="1" applyAlignment="1">
      <alignment horizontal="left" vertical="center" wrapText="1"/>
    </xf>
    <xf numFmtId="3" fontId="56" fillId="0" borderId="66" xfId="0" applyNumberFormat="1" applyFont="1" applyFill="1" applyBorder="1" applyAlignment="1">
      <alignment horizontal="right" vertical="center" wrapText="1"/>
    </xf>
    <xf numFmtId="173" fontId="56" fillId="0" borderId="66" xfId="55" applyNumberFormat="1" applyFont="1" applyFill="1" applyBorder="1" applyAlignment="1">
      <alignment horizontal="right" vertical="center" wrapText="1"/>
    </xf>
    <xf numFmtId="173" fontId="56" fillId="0" borderId="13" xfId="55" applyNumberFormat="1" applyFont="1" applyFill="1" applyBorder="1" applyAlignment="1">
      <alignment horizontal="right" vertical="center" wrapText="1"/>
    </xf>
    <xf numFmtId="9" fontId="42" fillId="0" borderId="13" xfId="55" applyFont="1" applyBorder="1"/>
    <xf numFmtId="9" fontId="42" fillId="0" borderId="62" xfId="55" applyFont="1" applyBorder="1"/>
    <xf numFmtId="9" fontId="42" fillId="0" borderId="66" xfId="55" applyFont="1" applyBorder="1"/>
    <xf numFmtId="9" fontId="42" fillId="0" borderId="67" xfId="55" applyFont="1" applyBorder="1"/>
    <xf numFmtId="9" fontId="54" fillId="0" borderId="37" xfId="55" applyFont="1" applyBorder="1"/>
    <xf numFmtId="9" fontId="54" fillId="0" borderId="64" xfId="55" applyFont="1" applyBorder="1"/>
    <xf numFmtId="9" fontId="48" fillId="0" borderId="37" xfId="55" applyNumberFormat="1" applyFont="1" applyFill="1" applyBorder="1" applyAlignment="1">
      <alignment horizontal="right" vertical="center" wrapText="1"/>
    </xf>
    <xf numFmtId="0" fontId="54" fillId="0" borderId="66" xfId="0" applyFont="1" applyFill="1" applyBorder="1" applyAlignment="1">
      <alignment horizontal="center"/>
    </xf>
    <xf numFmtId="173" fontId="33" fillId="24" borderId="101" xfId="55" applyNumberFormat="1" applyFont="1" applyFill="1" applyBorder="1" applyAlignment="1">
      <alignment vertical="center"/>
    </xf>
    <xf numFmtId="173" fontId="33" fillId="24" borderId="0" xfId="55" applyNumberFormat="1" applyFont="1" applyFill="1" applyBorder="1" applyAlignment="1">
      <alignment vertical="center"/>
    </xf>
    <xf numFmtId="2" fontId="33" fillId="24" borderId="0" xfId="55" applyNumberFormat="1" applyFont="1" applyFill="1" applyBorder="1" applyAlignment="1">
      <alignment vertical="center"/>
    </xf>
    <xf numFmtId="0" fontId="48" fillId="0" borderId="115" xfId="50" applyFont="1" applyBorder="1" applyAlignment="1">
      <alignment horizontal="center" vertical="center" wrapText="1"/>
    </xf>
    <xf numFmtId="3" fontId="33" fillId="0" borderId="13" xfId="37" applyNumberFormat="1" applyFont="1" applyBorder="1"/>
    <xf numFmtId="10" fontId="42" fillId="0" borderId="62" xfId="55" applyNumberFormat="1" applyFont="1" applyBorder="1" applyAlignment="1">
      <alignment vertical="center"/>
    </xf>
    <xf numFmtId="10" fontId="42" fillId="0" borderId="37" xfId="55" applyNumberFormat="1" applyFont="1" applyBorder="1" applyAlignment="1">
      <alignment vertical="center"/>
    </xf>
    <xf numFmtId="10" fontId="42" fillId="0" borderId="64" xfId="55" applyNumberFormat="1" applyFont="1" applyBorder="1" applyAlignment="1">
      <alignment vertical="center"/>
    </xf>
    <xf numFmtId="0" fontId="36" fillId="0" borderId="65" xfId="0" applyFont="1" applyBorder="1" applyAlignment="1">
      <alignment horizontal="center"/>
    </xf>
    <xf numFmtId="0" fontId="36" fillId="0" borderId="66" xfId="0" applyFont="1" applyBorder="1" applyAlignment="1">
      <alignment horizontal="center"/>
    </xf>
    <xf numFmtId="0" fontId="36" fillId="0" borderId="66" xfId="37" applyNumberFormat="1" applyFont="1" applyBorder="1" applyAlignment="1">
      <alignment horizontal="center"/>
    </xf>
    <xf numFmtId="0" fontId="36" fillId="0" borderId="67" xfId="37" applyNumberFormat="1" applyFont="1" applyBorder="1" applyAlignment="1">
      <alignment horizontal="center"/>
    </xf>
    <xf numFmtId="0" fontId="56" fillId="0" borderId="0" xfId="50" applyFont="1" applyFill="1" applyBorder="1" applyAlignment="1">
      <alignment horizontal="left" vertical="center" wrapText="1"/>
    </xf>
    <xf numFmtId="10" fontId="42" fillId="0" borderId="0" xfId="55" applyNumberFormat="1" applyFont="1" applyFill="1" applyBorder="1"/>
    <xf numFmtId="10" fontId="0" fillId="0" borderId="0" xfId="55" applyNumberFormat="1" applyFont="1"/>
    <xf numFmtId="173" fontId="0" fillId="24" borderId="0" xfId="0" applyNumberFormat="1" applyFill="1"/>
    <xf numFmtId="1" fontId="0" fillId="24" borderId="0" xfId="0" applyNumberFormat="1" applyFill="1"/>
    <xf numFmtId="9" fontId="54" fillId="0" borderId="83" xfId="55" applyFont="1" applyBorder="1" applyAlignment="1">
      <alignment wrapText="1"/>
    </xf>
    <xf numFmtId="9" fontId="42" fillId="0" borderId="83" xfId="55" applyFont="1" applyBorder="1" applyAlignment="1">
      <alignment wrapText="1"/>
    </xf>
    <xf numFmtId="173" fontId="54" fillId="0" borderId="83" xfId="55" applyNumberFormat="1" applyFont="1" applyBorder="1" applyAlignment="1">
      <alignment wrapText="1"/>
    </xf>
    <xf numFmtId="9" fontId="45" fillId="0" borderId="83" xfId="55" applyFont="1" applyBorder="1"/>
    <xf numFmtId="9" fontId="46" fillId="0" borderId="83" xfId="55" applyFont="1" applyBorder="1"/>
    <xf numFmtId="9" fontId="54" fillId="0" borderId="114" xfId="55" applyFont="1" applyBorder="1" applyAlignment="1">
      <alignment wrapText="1"/>
    </xf>
    <xf numFmtId="9" fontId="54" fillId="0" borderId="83" xfId="55" applyNumberFormat="1" applyFont="1" applyBorder="1" applyAlignment="1">
      <alignment wrapText="1"/>
    </xf>
    <xf numFmtId="0" fontId="0" fillId="24" borderId="0" xfId="0" applyFill="1" applyBorder="1" applyAlignment="1">
      <alignment horizontal="justify" vertical="center" wrapText="1"/>
    </xf>
    <xf numFmtId="0" fontId="38" fillId="0" borderId="0" xfId="0" applyFont="1" applyBorder="1" applyAlignment="1">
      <alignment horizontal="center"/>
    </xf>
    <xf numFmtId="0" fontId="0" fillId="24" borderId="0" xfId="0" applyFill="1" applyBorder="1" applyAlignment="1">
      <alignment horizontal="center" vertical="center"/>
    </xf>
    <xf numFmtId="3" fontId="45" fillId="0" borderId="0" xfId="50" applyNumberFormat="1" applyFont="1" applyFill="1" applyBorder="1"/>
    <xf numFmtId="1" fontId="0" fillId="0" borderId="0" xfId="0" applyNumberFormat="1"/>
    <xf numFmtId="0" fontId="45" fillId="0" borderId="0" xfId="50" applyFont="1" applyFill="1" applyAlignment="1">
      <alignment horizontal="center" vertical="center" wrapText="1"/>
    </xf>
    <xf numFmtId="0" fontId="48" fillId="0" borderId="59" xfId="50" applyFont="1" applyFill="1" applyBorder="1" applyAlignment="1">
      <alignment horizontal="center" vertical="center" wrapText="1"/>
    </xf>
    <xf numFmtId="0" fontId="42" fillId="0" borderId="0" xfId="0" applyNumberFormat="1" applyFont="1" applyFill="1"/>
    <xf numFmtId="0" fontId="0" fillId="0" borderId="0" xfId="0" applyNumberFormat="1" applyFill="1"/>
    <xf numFmtId="0" fontId="45" fillId="0" borderId="0" xfId="50" applyFont="1" applyFill="1"/>
    <xf numFmtId="0" fontId="48" fillId="0" borderId="59" xfId="50" applyFont="1" applyFill="1" applyBorder="1"/>
    <xf numFmtId="3" fontId="45" fillId="0" borderId="61" xfId="50" applyNumberFormat="1" applyFont="1" applyFill="1" applyBorder="1"/>
    <xf numFmtId="3" fontId="45" fillId="0" borderId="62" xfId="50" applyNumberFormat="1" applyFont="1" applyFill="1" applyBorder="1"/>
    <xf numFmtId="3" fontId="46" fillId="0" borderId="62" xfId="50" applyNumberFormat="1" applyFont="1" applyFill="1" applyBorder="1"/>
    <xf numFmtId="3" fontId="45" fillId="0" borderId="64" xfId="50" applyNumberFormat="1" applyFont="1" applyFill="1" applyBorder="1"/>
    <xf numFmtId="0" fontId="42" fillId="0" borderId="0" xfId="0" applyFont="1" applyFill="1"/>
    <xf numFmtId="0" fontId="0" fillId="24" borderId="123" xfId="0" applyFill="1" applyBorder="1"/>
    <xf numFmtId="10" fontId="0" fillId="24" borderId="93" xfId="55" applyNumberFormat="1" applyFont="1" applyFill="1" applyBorder="1"/>
    <xf numFmtId="10" fontId="0" fillId="24" borderId="30" xfId="55" applyNumberFormat="1" applyFont="1" applyFill="1" applyBorder="1"/>
    <xf numFmtId="1" fontId="61" fillId="25" borderId="0" xfId="0" applyNumberFormat="1" applyFont="1" applyFill="1" applyBorder="1"/>
    <xf numFmtId="0" fontId="2" fillId="24" borderId="101" xfId="0" applyFont="1" applyFill="1" applyBorder="1" applyProtection="1">
      <protection hidden="1"/>
    </xf>
    <xf numFmtId="0" fontId="110" fillId="0" borderId="27" xfId="0" applyFont="1" applyBorder="1"/>
    <xf numFmtId="0" fontId="110" fillId="0" borderId="30" xfId="0" applyFont="1" applyBorder="1" applyAlignment="1">
      <alignment horizontal="center"/>
    </xf>
    <xf numFmtId="2" fontId="110" fillId="0" borderId="30" xfId="0" applyNumberFormat="1" applyFont="1" applyBorder="1" applyAlignment="1">
      <alignment horizontal="center"/>
    </xf>
    <xf numFmtId="10" fontId="110" fillId="0" borderId="30" xfId="0" applyNumberFormat="1" applyFont="1" applyBorder="1" applyAlignment="1">
      <alignment horizontal="center"/>
    </xf>
    <xf numFmtId="0" fontId="111" fillId="0" borderId="27" xfId="0" applyFont="1" applyBorder="1"/>
    <xf numFmtId="0" fontId="111" fillId="0" borderId="30" xfId="0" applyFont="1" applyBorder="1" applyAlignment="1">
      <alignment horizontal="center"/>
    </xf>
    <xf numFmtId="2" fontId="111" fillId="0" borderId="30" xfId="0" applyNumberFormat="1" applyFont="1" applyBorder="1" applyAlignment="1">
      <alignment horizontal="center"/>
    </xf>
    <xf numFmtId="10" fontId="111" fillId="0" borderId="30" xfId="0" applyNumberFormat="1" applyFont="1" applyBorder="1" applyAlignment="1">
      <alignment horizontal="center"/>
    </xf>
    <xf numFmtId="0" fontId="0" fillId="0" borderId="30" xfId="0" applyBorder="1"/>
    <xf numFmtId="0" fontId="0" fillId="0" borderId="0" xfId="0" applyFill="1" applyBorder="1" applyAlignment="1">
      <alignment horizontal="center"/>
    </xf>
    <xf numFmtId="0" fontId="0" fillId="25" borderId="91" xfId="0" applyFill="1" applyBorder="1" applyAlignment="1">
      <alignment horizontal="center"/>
    </xf>
    <xf numFmtId="0" fontId="0" fillId="25" borderId="92" xfId="0" applyFill="1" applyBorder="1" applyAlignment="1">
      <alignment horizontal="center"/>
    </xf>
    <xf numFmtId="0" fontId="0" fillId="25" borderId="0" xfId="0" applyFill="1" applyBorder="1" applyAlignment="1">
      <alignment horizontal="center"/>
    </xf>
    <xf numFmtId="0" fontId="0" fillId="25" borderId="93" xfId="0" applyFill="1" applyBorder="1" applyAlignment="1">
      <alignment horizontal="center"/>
    </xf>
    <xf numFmtId="0" fontId="0" fillId="25" borderId="94" xfId="0" applyFill="1" applyBorder="1" applyAlignment="1">
      <alignment horizontal="center"/>
    </xf>
    <xf numFmtId="0" fontId="0" fillId="25" borderId="11" xfId="0" applyFill="1" applyBorder="1" applyAlignment="1">
      <alignment horizontal="center"/>
    </xf>
    <xf numFmtId="0" fontId="0" fillId="25" borderId="30" xfId="0" applyFill="1" applyBorder="1" applyAlignment="1">
      <alignment horizontal="center"/>
    </xf>
    <xf numFmtId="0" fontId="93" fillId="0" borderId="0" xfId="0" applyFont="1" applyFill="1" applyBorder="1" applyAlignment="1">
      <alignment horizontal="center" vertical="center"/>
    </xf>
    <xf numFmtId="0" fontId="93" fillId="0" borderId="0" xfId="0" applyFont="1" applyFill="1" applyBorder="1"/>
    <xf numFmtId="10" fontId="93" fillId="0" borderId="0" xfId="70" applyNumberFormat="1" applyFont="1" applyFill="1" applyBorder="1"/>
    <xf numFmtId="43" fontId="0" fillId="0" borderId="0" xfId="37" applyFont="1"/>
    <xf numFmtId="0" fontId="0" fillId="0" borderId="13" xfId="0" applyNumberFormat="1" applyBorder="1"/>
    <xf numFmtId="0" fontId="75" fillId="0" borderId="0" xfId="0" applyFont="1" applyFill="1" applyBorder="1"/>
    <xf numFmtId="9" fontId="48" fillId="0" borderId="13" xfId="55" applyNumberFormat="1" applyFont="1" applyFill="1" applyBorder="1" applyAlignment="1">
      <alignment horizontal="right" vertical="center" wrapText="1"/>
    </xf>
    <xf numFmtId="9" fontId="54" fillId="0" borderId="13" xfId="55" applyNumberFormat="1" applyFont="1" applyBorder="1" applyAlignment="1">
      <alignment vertical="center"/>
    </xf>
    <xf numFmtId="9" fontId="0" fillId="0" borderId="0" xfId="55" applyFont="1"/>
    <xf numFmtId="10" fontId="54" fillId="0" borderId="13" xfId="55" applyNumberFormat="1" applyFont="1" applyBorder="1"/>
    <xf numFmtId="10" fontId="33" fillId="24" borderId="91" xfId="55" applyNumberFormat="1" applyFont="1" applyFill="1" applyBorder="1" applyAlignment="1">
      <alignment horizontal="right" vertical="center"/>
    </xf>
    <xf numFmtId="10" fontId="33" fillId="24" borderId="92" xfId="55" applyNumberFormat="1" applyFont="1" applyFill="1" applyBorder="1" applyAlignment="1">
      <alignment horizontal="right" vertical="center"/>
    </xf>
    <xf numFmtId="10" fontId="33" fillId="24" borderId="94" xfId="55" applyNumberFormat="1" applyFont="1" applyFill="1" applyBorder="1" applyAlignment="1">
      <alignment horizontal="right" vertical="center"/>
    </xf>
    <xf numFmtId="10" fontId="0" fillId="24" borderId="83" xfId="55" applyNumberFormat="1" applyFont="1" applyFill="1" applyBorder="1" applyAlignment="1">
      <alignment horizontal="right"/>
    </xf>
    <xf numFmtId="10" fontId="33" fillId="24" borderId="29" xfId="55" applyNumberFormat="1" applyFont="1" applyFill="1" applyBorder="1" applyAlignment="1">
      <alignment horizontal="right" vertical="center"/>
    </xf>
    <xf numFmtId="10" fontId="33" fillId="24" borderId="93" xfId="55" applyNumberFormat="1" applyFont="1" applyFill="1" applyBorder="1" applyAlignment="1">
      <alignment horizontal="right" vertical="center"/>
    </xf>
    <xf numFmtId="10" fontId="33" fillId="24" borderId="30" xfId="55" applyNumberFormat="1" applyFont="1" applyFill="1" applyBorder="1" applyAlignment="1">
      <alignment horizontal="right" vertical="center"/>
    </xf>
    <xf numFmtId="3" fontId="0" fillId="24" borderId="13" xfId="0" applyNumberFormat="1" applyFill="1" applyBorder="1" applyAlignment="1">
      <alignment horizontal="right" vertical="center"/>
    </xf>
    <xf numFmtId="0" fontId="0" fillId="24" borderId="107" xfId="0" applyFill="1" applyBorder="1"/>
    <xf numFmtId="9" fontId="0" fillId="24" borderId="107" xfId="0" applyNumberFormat="1" applyFill="1" applyBorder="1"/>
    <xf numFmtId="9" fontId="33" fillId="24" borderId="26" xfId="55" applyFont="1" applyFill="1" applyBorder="1"/>
    <xf numFmtId="9" fontId="33" fillId="24" borderId="27" xfId="55" applyFont="1" applyFill="1" applyBorder="1"/>
    <xf numFmtId="173" fontId="0" fillId="24" borderId="26" xfId="0" applyNumberFormat="1" applyFill="1" applyBorder="1"/>
    <xf numFmtId="0" fontId="36" fillId="24" borderId="13" xfId="0" applyFont="1" applyFill="1" applyBorder="1"/>
    <xf numFmtId="10" fontId="0" fillId="24" borderId="31" xfId="55" applyNumberFormat="1" applyFont="1" applyFill="1" applyBorder="1" applyAlignment="1">
      <alignment horizontal="right"/>
    </xf>
    <xf numFmtId="0" fontId="113" fillId="24" borderId="0" xfId="0" applyFont="1" applyFill="1"/>
    <xf numFmtId="0" fontId="113" fillId="24" borderId="0" xfId="0" applyFont="1" applyFill="1" applyBorder="1"/>
    <xf numFmtId="10" fontId="0" fillId="24" borderId="92" xfId="55" applyNumberFormat="1" applyFont="1" applyFill="1" applyBorder="1"/>
    <xf numFmtId="10" fontId="0" fillId="24" borderId="94" xfId="55" applyNumberFormat="1" applyFont="1" applyFill="1" applyBorder="1"/>
    <xf numFmtId="0" fontId="54" fillId="0" borderId="0" xfId="0" applyFont="1" applyBorder="1" applyAlignment="1"/>
    <xf numFmtId="0" fontId="54" fillId="0" borderId="113" xfId="0" applyFont="1" applyBorder="1" applyAlignment="1"/>
    <xf numFmtId="1" fontId="0" fillId="24" borderId="80" xfId="0" applyNumberFormat="1" applyFill="1" applyBorder="1"/>
    <xf numFmtId="1" fontId="0" fillId="24" borderId="71" xfId="0" applyNumberFormat="1" applyFill="1" applyBorder="1"/>
    <xf numFmtId="1" fontId="0" fillId="24" borderId="126" xfId="0" applyNumberFormat="1" applyFill="1" applyBorder="1"/>
    <xf numFmtId="0" fontId="0" fillId="24" borderId="42" xfId="0" applyFill="1" applyBorder="1" applyAlignment="1">
      <alignment horizontal="center"/>
    </xf>
    <xf numFmtId="1" fontId="0" fillId="24" borderId="42" xfId="0" applyNumberFormat="1" applyFill="1" applyBorder="1"/>
    <xf numFmtId="173" fontId="0" fillId="24" borderId="42" xfId="55" applyNumberFormat="1" applyFont="1" applyFill="1" applyBorder="1"/>
    <xf numFmtId="43" fontId="0" fillId="24" borderId="42" xfId="37" applyFont="1" applyFill="1" applyBorder="1"/>
    <xf numFmtId="43" fontId="0" fillId="24" borderId="50" xfId="37" applyFont="1" applyFill="1" applyBorder="1" applyAlignment="1">
      <alignment horizontal="center" vertical="center"/>
    </xf>
    <xf numFmtId="191" fontId="0" fillId="24" borderId="50" xfId="37" applyNumberFormat="1" applyFont="1" applyFill="1" applyBorder="1" applyAlignment="1">
      <alignment horizontal="center" vertical="center"/>
    </xf>
    <xf numFmtId="172" fontId="0" fillId="24" borderId="50" xfId="37" applyNumberFormat="1" applyFont="1" applyFill="1" applyBorder="1" applyAlignment="1">
      <alignment horizontal="center" vertical="center"/>
    </xf>
    <xf numFmtId="0" fontId="36" fillId="0" borderId="110" xfId="0" applyFont="1" applyBorder="1" applyAlignment="1">
      <alignment horizontal="center"/>
    </xf>
    <xf numFmtId="0" fontId="36" fillId="0" borderId="67" xfId="0" applyFont="1" applyBorder="1" applyAlignment="1">
      <alignment horizontal="center"/>
    </xf>
    <xf numFmtId="0" fontId="0" fillId="24" borderId="0" xfId="0" applyFill="1" applyBorder="1" applyAlignment="1">
      <alignment horizontal="justify" vertical="center" wrapText="1"/>
    </xf>
    <xf numFmtId="0" fontId="0" fillId="24" borderId="50" xfId="0" applyFill="1" applyBorder="1" applyAlignment="1">
      <alignment horizontal="center" vertical="center"/>
    </xf>
    <xf numFmtId="0" fontId="67" fillId="24" borderId="101" xfId="0" applyFont="1" applyFill="1" applyBorder="1" applyAlignment="1" applyProtection="1">
      <alignment horizontal="left" vertical="center" wrapText="1"/>
      <protection hidden="1"/>
    </xf>
    <xf numFmtId="0" fontId="0" fillId="0" borderId="17" xfId="0" applyBorder="1" applyAlignment="1">
      <alignment horizontal="center"/>
    </xf>
    <xf numFmtId="3" fontId="33" fillId="24" borderId="0" xfId="37" applyNumberFormat="1" applyFont="1" applyFill="1" applyBorder="1" applyAlignment="1">
      <alignment horizontal="right" vertical="center"/>
    </xf>
    <xf numFmtId="3" fontId="33" fillId="24" borderId="93" xfId="37" applyNumberFormat="1" applyFont="1" applyFill="1" applyBorder="1" applyAlignment="1">
      <alignment horizontal="right" vertical="center"/>
    </xf>
    <xf numFmtId="3" fontId="0" fillId="24" borderId="31" xfId="0" applyNumberFormat="1" applyFill="1" applyBorder="1" applyAlignment="1">
      <alignment horizontal="right"/>
    </xf>
    <xf numFmtId="3" fontId="0" fillId="24" borderId="123" xfId="0" applyNumberFormat="1" applyFill="1" applyBorder="1" applyAlignment="1">
      <alignment horizontal="right" vertical="center"/>
    </xf>
    <xf numFmtId="3" fontId="0" fillId="24" borderId="0" xfId="0" applyNumberFormat="1" applyFont="1" applyFill="1" applyBorder="1" applyAlignment="1">
      <alignment horizontal="right" vertical="center"/>
    </xf>
    <xf numFmtId="3" fontId="0" fillId="0" borderId="0" xfId="0" applyNumberFormat="1" applyBorder="1" applyAlignment="1">
      <alignment horizontal="right" vertical="center"/>
    </xf>
    <xf numFmtId="2" fontId="33" fillId="24" borderId="123" xfId="55" applyNumberFormat="1" applyFont="1" applyFill="1" applyBorder="1" applyAlignment="1">
      <alignment horizontal="center" vertical="center"/>
    </xf>
    <xf numFmtId="3" fontId="36" fillId="24" borderId="25" xfId="37" applyNumberFormat="1" applyFont="1" applyFill="1" applyBorder="1" applyAlignment="1">
      <alignment horizontal="right" vertical="center"/>
    </xf>
    <xf numFmtId="3" fontId="36" fillId="24" borderId="28" xfId="37" applyNumberFormat="1" applyFont="1" applyFill="1" applyBorder="1" applyAlignment="1">
      <alignment horizontal="right" vertical="center"/>
    </xf>
    <xf numFmtId="3" fontId="36" fillId="24" borderId="29" xfId="37" applyNumberFormat="1" applyFont="1" applyFill="1" applyBorder="1" applyAlignment="1">
      <alignment horizontal="right" vertical="center"/>
    </xf>
    <xf numFmtId="3" fontId="36" fillId="24" borderId="27" xfId="37" applyNumberFormat="1" applyFont="1" applyFill="1" applyBorder="1" applyAlignment="1">
      <alignment horizontal="right" vertical="center"/>
    </xf>
    <xf numFmtId="3" fontId="36" fillId="24" borderId="11" xfId="37" applyNumberFormat="1" applyFont="1" applyFill="1" applyBorder="1" applyAlignment="1">
      <alignment horizontal="right" vertical="center"/>
    </xf>
    <xf numFmtId="3" fontId="36" fillId="24" borderId="30" xfId="37" applyNumberFormat="1" applyFont="1" applyFill="1" applyBorder="1" applyAlignment="1">
      <alignment horizontal="right" vertical="center"/>
    </xf>
    <xf numFmtId="0" fontId="114" fillId="38" borderId="66" xfId="0" applyFont="1" applyFill="1" applyBorder="1"/>
    <xf numFmtId="43" fontId="36" fillId="0" borderId="13" xfId="37" applyFont="1" applyBorder="1"/>
    <xf numFmtId="10" fontId="36" fillId="0" borderId="37" xfId="55" applyNumberFormat="1" applyFont="1" applyBorder="1"/>
    <xf numFmtId="0" fontId="2" fillId="35" borderId="0" xfId="45" applyFill="1" applyBorder="1"/>
    <xf numFmtId="0" fontId="2" fillId="35" borderId="127" xfId="45" applyFill="1" applyBorder="1"/>
    <xf numFmtId="0" fontId="2" fillId="35" borderId="0" xfId="45" applyFill="1"/>
    <xf numFmtId="0" fontId="2" fillId="35" borderId="128" xfId="45" applyFill="1" applyBorder="1"/>
    <xf numFmtId="0" fontId="98" fillId="24" borderId="18" xfId="45" applyFont="1" applyFill="1" applyBorder="1" applyAlignment="1">
      <alignment horizontal="justify" vertical="center"/>
    </xf>
    <xf numFmtId="0" fontId="42" fillId="24" borderId="20" xfId="45" applyFont="1" applyFill="1" applyBorder="1" applyAlignment="1">
      <alignment horizontal="left" vertical="center" wrapText="1" indent="1"/>
    </xf>
    <xf numFmtId="0" fontId="42" fillId="24" borderId="96" xfId="45" applyFont="1" applyFill="1" applyBorder="1" applyAlignment="1">
      <alignment horizontal="justify" vertical="center"/>
    </xf>
    <xf numFmtId="0" fontId="42" fillId="35" borderId="0" xfId="45" applyFont="1" applyFill="1" applyBorder="1"/>
    <xf numFmtId="0" fontId="2" fillId="24" borderId="80" xfId="45" applyFont="1" applyFill="1" applyBorder="1" applyAlignment="1">
      <alignment horizontal="justify" vertical="center"/>
    </xf>
    <xf numFmtId="0" fontId="115" fillId="24" borderId="71" xfId="45" applyFont="1" applyFill="1" applyBorder="1" applyAlignment="1">
      <alignment horizontal="left" vertical="center" indent="1"/>
    </xf>
    <xf numFmtId="0" fontId="115" fillId="24" borderId="126" xfId="45" applyFont="1" applyFill="1" applyBorder="1"/>
    <xf numFmtId="0" fontId="42" fillId="24" borderId="42" xfId="45" applyFont="1" applyFill="1" applyBorder="1" applyAlignment="1">
      <alignment horizontal="left" vertical="center" indent="2"/>
    </xf>
    <xf numFmtId="0" fontId="116" fillId="24" borderId="80" xfId="45" applyFont="1" applyFill="1" applyBorder="1" applyAlignment="1">
      <alignment vertical="center" wrapText="1"/>
    </xf>
    <xf numFmtId="0" fontId="2" fillId="24" borderId="20" xfId="45" applyFill="1" applyBorder="1" applyAlignment="1">
      <alignment horizontal="left" indent="1"/>
    </xf>
    <xf numFmtId="0" fontId="116" fillId="24" borderId="126" xfId="45" applyFont="1" applyFill="1" applyBorder="1" applyAlignment="1">
      <alignment vertical="center" wrapText="1"/>
    </xf>
    <xf numFmtId="0" fontId="42" fillId="35" borderId="71" xfId="45" applyFont="1" applyFill="1" applyBorder="1"/>
    <xf numFmtId="0" fontId="42" fillId="35" borderId="126" xfId="45" applyFont="1" applyFill="1" applyBorder="1"/>
    <xf numFmtId="0" fontId="92" fillId="24" borderId="80" xfId="45" applyFont="1" applyFill="1" applyBorder="1" applyAlignment="1">
      <alignment horizontal="justify" vertical="center"/>
    </xf>
    <xf numFmtId="0" fontId="2" fillId="24" borderId="71" xfId="45" applyFont="1" applyFill="1" applyBorder="1" applyAlignment="1">
      <alignment horizontal="justify" vertical="center"/>
    </xf>
    <xf numFmtId="0" fontId="2" fillId="35" borderId="132" xfId="45" applyFill="1" applyBorder="1"/>
    <xf numFmtId="0" fontId="115" fillId="24" borderId="126" xfId="35" applyFont="1" applyFill="1" applyBorder="1" applyAlignment="1" applyProtection="1">
      <alignment horizontal="justify" vertical="center"/>
    </xf>
    <xf numFmtId="0" fontId="117" fillId="35" borderId="0" xfId="45" applyFont="1" applyFill="1" applyBorder="1"/>
    <xf numFmtId="0" fontId="92" fillId="35" borderId="0" xfId="45" applyFont="1" applyFill="1" applyBorder="1" applyAlignment="1">
      <alignment horizontal="left"/>
    </xf>
    <xf numFmtId="0" fontId="118" fillId="0" borderId="0" xfId="0" applyFont="1"/>
    <xf numFmtId="0" fontId="36" fillId="0" borderId="0" xfId="0" applyFont="1" applyAlignment="1">
      <alignment horizontal="center" vertical="center"/>
    </xf>
    <xf numFmtId="0" fontId="0" fillId="0" borderId="31" xfId="0" applyBorder="1"/>
    <xf numFmtId="0" fontId="48" fillId="0" borderId="13" xfId="50" applyFont="1" applyFill="1" applyBorder="1" applyAlignment="1">
      <alignment horizontal="left" vertical="center" wrapText="1"/>
    </xf>
    <xf numFmtId="0" fontId="0" fillId="24" borderId="0" xfId="0" applyFont="1" applyFill="1" applyBorder="1" applyProtection="1">
      <protection hidden="1"/>
    </xf>
    <xf numFmtId="0" fontId="0" fillId="24" borderId="35" xfId="0" applyFill="1" applyBorder="1" applyProtection="1">
      <protection hidden="1"/>
    </xf>
    <xf numFmtId="0" fontId="39" fillId="24" borderId="40" xfId="0" applyFont="1" applyFill="1" applyBorder="1" applyProtection="1">
      <protection hidden="1"/>
    </xf>
    <xf numFmtId="0" fontId="67" fillId="24" borderId="100" xfId="0" applyFont="1" applyFill="1" applyBorder="1" applyAlignment="1" applyProtection="1">
      <alignment horizontal="left" vertical="center" wrapText="1"/>
      <protection hidden="1"/>
    </xf>
    <xf numFmtId="0" fontId="67" fillId="24" borderId="102" xfId="0" applyFont="1" applyFill="1" applyBorder="1" applyAlignment="1" applyProtection="1">
      <alignment horizontal="left" vertical="center" wrapText="1"/>
      <protection hidden="1"/>
    </xf>
    <xf numFmtId="0" fontId="0" fillId="24" borderId="49" xfId="0" applyFill="1" applyBorder="1" applyAlignment="1"/>
    <xf numFmtId="43" fontId="1" fillId="23" borderId="87" xfId="37" applyNumberFormat="1" applyFont="1" applyFill="1" applyBorder="1" applyAlignment="1"/>
    <xf numFmtId="43" fontId="14" fillId="23" borderId="35" xfId="37" applyNumberFormat="1" applyFont="1" applyFill="1" applyBorder="1" applyAlignment="1">
      <alignment horizontal="center"/>
    </xf>
    <xf numFmtId="0" fontId="119" fillId="39" borderId="23" xfId="0" applyFont="1" applyFill="1" applyBorder="1" applyAlignment="1">
      <alignment horizontal="center"/>
    </xf>
    <xf numFmtId="0" fontId="119" fillId="39" borderId="116" xfId="0" applyFont="1" applyFill="1" applyBorder="1" applyAlignment="1">
      <alignment horizontal="center"/>
    </xf>
    <xf numFmtId="43" fontId="1" fillId="23" borderId="53" xfId="37" applyNumberFormat="1" applyFont="1" applyFill="1" applyBorder="1" applyAlignment="1"/>
    <xf numFmtId="0" fontId="31" fillId="0" borderId="13" xfId="0" applyFont="1" applyBorder="1"/>
    <xf numFmtId="43" fontId="31" fillId="24" borderId="62" xfId="37" applyNumberFormat="1" applyFont="1" applyFill="1" applyBorder="1"/>
    <xf numFmtId="43" fontId="1" fillId="23" borderId="53" xfId="37" applyNumberFormat="1" applyFont="1" applyFill="1" applyBorder="1" applyAlignment="1">
      <alignment wrapText="1"/>
    </xf>
    <xf numFmtId="43" fontId="1" fillId="23" borderId="137" xfId="37" applyNumberFormat="1" applyFont="1" applyFill="1" applyBorder="1" applyAlignment="1"/>
    <xf numFmtId="0" fontId="31" fillId="0" borderId="33" xfId="0" applyFont="1" applyBorder="1"/>
    <xf numFmtId="0" fontId="0" fillId="24" borderId="138" xfId="0" applyFill="1" applyBorder="1"/>
    <xf numFmtId="0" fontId="0" fillId="0" borderId="23" xfId="0" applyBorder="1"/>
    <xf numFmtId="0" fontId="0" fillId="0" borderId="33" xfId="0" applyBorder="1"/>
    <xf numFmtId="0" fontId="32" fillId="0" borderId="33" xfId="0" applyFont="1" applyBorder="1" applyAlignment="1">
      <alignment horizontal="center"/>
    </xf>
    <xf numFmtId="43" fontId="1" fillId="23" borderId="49" xfId="37" applyNumberFormat="1" applyFont="1" applyFill="1" applyBorder="1" applyAlignment="1"/>
    <xf numFmtId="0" fontId="32" fillId="0" borderId="0" xfId="0" applyFont="1" applyBorder="1" applyAlignment="1">
      <alignment horizontal="center"/>
    </xf>
    <xf numFmtId="0" fontId="34" fillId="24" borderId="49" xfId="35" applyFill="1" applyBorder="1" applyAlignment="1" applyProtection="1">
      <alignment vertical="center"/>
    </xf>
    <xf numFmtId="0" fontId="0" fillId="24" borderId="87" xfId="0" applyFill="1" applyBorder="1"/>
    <xf numFmtId="0" fontId="0" fillId="24" borderId="137" xfId="0" applyFill="1" applyBorder="1"/>
    <xf numFmtId="0" fontId="32" fillId="0" borderId="139" xfId="0" applyFont="1" applyBorder="1" applyAlignment="1">
      <alignment horizontal="center"/>
    </xf>
    <xf numFmtId="0" fontId="121" fillId="34" borderId="0" xfId="0" applyFont="1" applyFill="1"/>
    <xf numFmtId="0" fontId="122" fillId="35" borderId="0" xfId="0" applyFont="1" applyFill="1"/>
    <xf numFmtId="0" fontId="0" fillId="35" borderId="0" xfId="0" applyFill="1"/>
    <xf numFmtId="0" fontId="123" fillId="34" borderId="42" xfId="0" applyFont="1" applyFill="1" applyBorder="1" applyAlignment="1">
      <alignment horizontal="center" vertical="center" wrapText="1"/>
    </xf>
    <xf numFmtId="0" fontId="124" fillId="34" borderId="18" xfId="0" applyFont="1" applyFill="1" applyBorder="1" applyAlignment="1">
      <alignment horizontal="center" vertical="center" wrapText="1"/>
    </xf>
    <xf numFmtId="0" fontId="124" fillId="34" borderId="17" xfId="0" applyFont="1" applyFill="1" applyBorder="1" applyAlignment="1">
      <alignment horizontal="center" vertical="center" wrapText="1"/>
    </xf>
    <xf numFmtId="0" fontId="124" fillId="35" borderId="0" xfId="0" applyFont="1" applyFill="1" applyBorder="1" applyAlignment="1">
      <alignment horizontal="center" vertical="center" wrapText="1"/>
    </xf>
    <xf numFmtId="0" fontId="125" fillId="24" borderId="19" xfId="0" applyFont="1" applyFill="1" applyBorder="1" applyAlignment="1">
      <alignment vertical="center" wrapText="1"/>
    </xf>
    <xf numFmtId="0" fontId="125" fillId="24" borderId="95" xfId="0" applyFont="1" applyFill="1" applyBorder="1" applyAlignment="1">
      <alignment vertical="center" wrapText="1"/>
    </xf>
    <xf numFmtId="0" fontId="125" fillId="24" borderId="13" xfId="0" applyFont="1" applyFill="1" applyBorder="1" applyAlignment="1">
      <alignment vertical="center" wrapText="1"/>
    </xf>
    <xf numFmtId="2" fontId="126" fillId="35" borderId="0" xfId="0" applyNumberFormat="1" applyFont="1" applyFill="1" applyBorder="1" applyAlignment="1">
      <alignment horizontal="center" vertical="center" wrapText="1"/>
    </xf>
    <xf numFmtId="188" fontId="126" fillId="35" borderId="0" xfId="0" applyNumberFormat="1" applyFont="1" applyFill="1" applyBorder="1" applyAlignment="1">
      <alignment horizontal="center" vertical="center" wrapText="1"/>
    </xf>
    <xf numFmtId="0" fontId="125" fillId="24" borderId="83" xfId="0" applyFont="1" applyFill="1" applyBorder="1" applyAlignment="1">
      <alignment vertical="center" wrapText="1"/>
    </xf>
    <xf numFmtId="0" fontId="127" fillId="24" borderId="13" xfId="0" applyFont="1" applyFill="1" applyBorder="1"/>
    <xf numFmtId="0" fontId="127" fillId="24" borderId="13" xfId="0" applyFont="1" applyFill="1" applyBorder="1" applyAlignment="1">
      <alignment horizontal="center"/>
    </xf>
    <xf numFmtId="2" fontId="128" fillId="35" borderId="0" xfId="0" applyNumberFormat="1" applyFont="1" applyFill="1" applyBorder="1" applyAlignment="1">
      <alignment horizontal="center"/>
    </xf>
    <xf numFmtId="0" fontId="114" fillId="34" borderId="83" xfId="0" applyFont="1" applyFill="1" applyBorder="1" applyAlignment="1">
      <alignment horizontal="center"/>
    </xf>
    <xf numFmtId="192" fontId="114" fillId="34" borderId="13" xfId="0" applyNumberFormat="1" applyFont="1" applyFill="1" applyBorder="1" applyAlignment="1">
      <alignment horizontal="center"/>
    </xf>
    <xf numFmtId="188" fontId="127" fillId="24" borderId="13" xfId="0" applyNumberFormat="1" applyFont="1" applyFill="1" applyBorder="1"/>
    <xf numFmtId="10" fontId="127" fillId="24" borderId="13" xfId="56" applyNumberFormat="1" applyFont="1" applyFill="1" applyBorder="1"/>
    <xf numFmtId="0" fontId="129" fillId="35" borderId="0" xfId="0" applyFont="1" applyFill="1"/>
    <xf numFmtId="0" fontId="130" fillId="35" borderId="0" xfId="0" applyFont="1" applyFill="1"/>
    <xf numFmtId="0" fontId="131" fillId="34" borderId="0" xfId="0" applyFont="1" applyFill="1" applyAlignment="1">
      <alignment horizontal="left" vertical="center"/>
    </xf>
    <xf numFmtId="0" fontId="132" fillId="34" borderId="0" xfId="0" applyFont="1" applyFill="1"/>
    <xf numFmtId="192" fontId="114" fillId="34" borderId="80" xfId="0" applyNumberFormat="1" applyFont="1" applyFill="1" applyBorder="1" applyAlignment="1">
      <alignment horizontal="center"/>
    </xf>
    <xf numFmtId="0" fontId="133" fillId="24" borderId="0" xfId="0" applyFont="1" applyFill="1" applyAlignment="1">
      <alignment horizontal="left" vertical="center"/>
    </xf>
    <xf numFmtId="188" fontId="0" fillId="24" borderId="13" xfId="0" applyNumberFormat="1" applyFill="1" applyBorder="1"/>
    <xf numFmtId="43" fontId="130" fillId="34" borderId="13" xfId="76" applyNumberFormat="1" applyFont="1" applyFill="1" applyBorder="1"/>
    <xf numFmtId="43" fontId="130" fillId="34" borderId="0" xfId="76" applyNumberFormat="1" applyFont="1" applyFill="1" applyBorder="1"/>
    <xf numFmtId="0" fontId="36" fillId="35" borderId="13" xfId="0" applyFont="1" applyFill="1" applyBorder="1" applyAlignment="1">
      <alignment horizontal="center"/>
    </xf>
    <xf numFmtId="0" fontId="135" fillId="34" borderId="140" xfId="0" applyFont="1" applyFill="1" applyBorder="1" applyAlignment="1">
      <alignment horizontal="center" vertical="center" wrapText="1"/>
    </xf>
    <xf numFmtId="9" fontId="135" fillId="34" borderId="140" xfId="0" applyNumberFormat="1" applyFont="1" applyFill="1" applyBorder="1" applyAlignment="1">
      <alignment horizontal="center" vertical="center" wrapText="1"/>
    </xf>
    <xf numFmtId="0" fontId="135" fillId="34" borderId="141" xfId="0" applyFont="1" applyFill="1" applyBorder="1" applyAlignment="1">
      <alignment horizontal="center" vertical="center" wrapText="1"/>
    </xf>
    <xf numFmtId="9" fontId="135" fillId="34" borderId="141" xfId="0" applyNumberFormat="1" applyFont="1" applyFill="1" applyBorder="1" applyAlignment="1">
      <alignment horizontal="center" vertical="center" wrapText="1"/>
    </xf>
    <xf numFmtId="0" fontId="65" fillId="28" borderId="141" xfId="0" applyFont="1" applyFill="1" applyBorder="1" applyAlignment="1">
      <alignment horizontal="center" vertical="center" wrapText="1"/>
    </xf>
    <xf numFmtId="9" fontId="65" fillId="28" borderId="141" xfId="0" applyNumberFormat="1" applyFont="1" applyFill="1" applyBorder="1" applyAlignment="1">
      <alignment horizontal="center" vertical="center" wrapText="1"/>
    </xf>
    <xf numFmtId="193" fontId="0" fillId="35" borderId="0" xfId="0" applyNumberFormat="1" applyFill="1"/>
    <xf numFmtId="193" fontId="0" fillId="0" borderId="0" xfId="0" applyNumberFormat="1"/>
    <xf numFmtId="0" fontId="2" fillId="0" borderId="0" xfId="0" applyFont="1"/>
    <xf numFmtId="0" fontId="2" fillId="35" borderId="0" xfId="0" applyFont="1" applyFill="1"/>
    <xf numFmtId="0" fontId="88" fillId="0" borderId="0" xfId="0" applyFont="1"/>
    <xf numFmtId="193" fontId="88" fillId="0" borderId="0" xfId="0" applyNumberFormat="1" applyFont="1"/>
    <xf numFmtId="173" fontId="0" fillId="0" borderId="0" xfId="0" applyNumberFormat="1"/>
    <xf numFmtId="9" fontId="0" fillId="35" borderId="0" xfId="0" applyNumberFormat="1" applyFill="1"/>
    <xf numFmtId="0" fontId="131" fillId="34" borderId="41" xfId="0" applyFont="1" applyFill="1" applyBorder="1" applyAlignment="1">
      <alignment horizontal="left"/>
    </xf>
    <xf numFmtId="0" fontId="131" fillId="34" borderId="142" xfId="0" applyFont="1" applyFill="1" applyBorder="1" applyAlignment="1">
      <alignment horizontal="center" vertical="center"/>
    </xf>
    <xf numFmtId="0" fontId="131" fillId="34" borderId="143" xfId="0" applyFont="1" applyFill="1" applyBorder="1" applyAlignment="1">
      <alignment horizontal="center" vertical="center"/>
    </xf>
    <xf numFmtId="0" fontId="88" fillId="0" borderId="0" xfId="0" applyFont="1" applyFill="1" applyBorder="1" applyAlignment="1">
      <alignment horizontal="left" vertical="center"/>
    </xf>
    <xf numFmtId="193" fontId="88" fillId="0" borderId="132" xfId="83" applyNumberFormat="1" applyFont="1" applyFill="1" applyBorder="1" applyAlignment="1">
      <alignment vertical="center"/>
    </xf>
    <xf numFmtId="193" fontId="88" fillId="0" borderId="133" xfId="83" applyNumberFormat="1" applyFont="1" applyFill="1" applyBorder="1" applyAlignment="1">
      <alignment vertical="center"/>
    </xf>
    <xf numFmtId="0" fontId="88" fillId="0" borderId="0" xfId="0" applyFont="1" applyFill="1" applyBorder="1" applyAlignment="1">
      <alignment horizontal="left" vertical="center" wrapText="1"/>
    </xf>
    <xf numFmtId="0" fontId="84" fillId="34" borderId="41" xfId="0" applyFont="1" applyFill="1" applyBorder="1"/>
    <xf numFmtId="193" fontId="138" fillId="34" borderId="144" xfId="83" applyNumberFormat="1" applyFont="1" applyFill="1" applyBorder="1" applyAlignment="1">
      <alignment vertical="center"/>
    </xf>
    <xf numFmtId="193" fontId="138" fillId="34" borderId="145" xfId="83" applyNumberFormat="1" applyFont="1" applyFill="1" applyBorder="1" applyAlignment="1">
      <alignment vertical="center"/>
    </xf>
    <xf numFmtId="193" fontId="139" fillId="34" borderId="144" xfId="83" applyNumberFormat="1" applyFont="1" applyFill="1" applyBorder="1" applyAlignment="1">
      <alignment vertical="center"/>
    </xf>
    <xf numFmtId="193" fontId="139" fillId="34" borderId="145" xfId="83" applyNumberFormat="1" applyFont="1" applyFill="1" applyBorder="1" applyAlignment="1">
      <alignment vertical="center"/>
    </xf>
    <xf numFmtId="0" fontId="88" fillId="0" borderId="0" xfId="0" applyFont="1" applyBorder="1"/>
    <xf numFmtId="193" fontId="88" fillId="0" borderId="132" xfId="83" applyNumberFormat="1" applyFont="1" applyBorder="1" applyAlignment="1">
      <alignment vertical="center"/>
    </xf>
    <xf numFmtId="193" fontId="88" fillId="0" borderId="133" xfId="83" applyNumberFormat="1" applyFont="1" applyBorder="1" applyAlignment="1">
      <alignment vertical="center"/>
    </xf>
    <xf numFmtId="0" fontId="84" fillId="34" borderId="41" xfId="0" applyFont="1" applyFill="1" applyBorder="1" applyAlignment="1">
      <alignment wrapText="1"/>
    </xf>
    <xf numFmtId="193" fontId="139" fillId="34" borderId="41" xfId="83" applyNumberFormat="1" applyFont="1" applyFill="1" applyBorder="1" applyAlignment="1">
      <alignment vertical="center"/>
    </xf>
    <xf numFmtId="193" fontId="139" fillId="34" borderId="146" xfId="83" applyNumberFormat="1" applyFont="1" applyFill="1" applyBorder="1" applyAlignment="1">
      <alignment vertical="center"/>
    </xf>
    <xf numFmtId="193" fontId="139" fillId="34" borderId="147" xfId="83" applyNumberFormat="1" applyFont="1" applyFill="1" applyBorder="1" applyAlignment="1">
      <alignment vertical="center"/>
    </xf>
    <xf numFmtId="0" fontId="131" fillId="34" borderId="42" xfId="0" applyFont="1" applyFill="1" applyBorder="1" applyAlignment="1">
      <alignment horizontal="left"/>
    </xf>
    <xf numFmtId="0" fontId="131" fillId="34" borderId="12" xfId="0" applyFont="1" applyFill="1" applyBorder="1" applyAlignment="1">
      <alignment horizontal="center" vertical="center"/>
    </xf>
    <xf numFmtId="193" fontId="131" fillId="34" borderId="148" xfId="83" applyNumberFormat="1" applyFont="1" applyFill="1" applyBorder="1" applyAlignment="1">
      <alignment horizontal="center" vertical="center"/>
    </xf>
    <xf numFmtId="0" fontId="84" fillId="0" borderId="149" xfId="0" applyFont="1" applyFill="1" applyBorder="1" applyAlignment="1">
      <alignment horizontal="left" vertical="center"/>
    </xf>
    <xf numFmtId="193" fontId="88" fillId="0" borderId="150" xfId="83" applyNumberFormat="1" applyFont="1" applyFill="1" applyBorder="1" applyAlignment="1">
      <alignment vertical="center"/>
    </xf>
    <xf numFmtId="193" fontId="88" fillId="0" borderId="151" xfId="83" applyNumberFormat="1" applyFont="1" applyFill="1" applyBorder="1" applyAlignment="1">
      <alignment vertical="center"/>
    </xf>
    <xf numFmtId="3" fontId="46" fillId="0" borderId="0" xfId="50" applyNumberFormat="1" applyFont="1" applyBorder="1"/>
    <xf numFmtId="49" fontId="131" fillId="34" borderId="80" xfId="0" applyNumberFormat="1" applyFont="1" applyFill="1" applyBorder="1" applyAlignment="1">
      <alignment horizontal="center" vertical="center"/>
    </xf>
    <xf numFmtId="49" fontId="88" fillId="0" borderId="129" xfId="0" applyNumberFormat="1" applyFont="1" applyFill="1" applyBorder="1"/>
    <xf numFmtId="193" fontId="88" fillId="0" borderId="152" xfId="83" applyNumberFormat="1" applyFont="1" applyFill="1" applyBorder="1"/>
    <xf numFmtId="49" fontId="88" fillId="0" borderId="132" xfId="0" applyNumberFormat="1" applyFont="1" applyFill="1" applyBorder="1"/>
    <xf numFmtId="193" fontId="88" fillId="0" borderId="0" xfId="83" applyNumberFormat="1" applyFont="1" applyFill="1" applyBorder="1"/>
    <xf numFmtId="49" fontId="84" fillId="34" borderId="144" xfId="0" applyNumberFormat="1" applyFont="1" applyFill="1" applyBorder="1"/>
    <xf numFmtId="193" fontId="84" fillId="34" borderId="97" xfId="83" applyNumberFormat="1" applyFont="1" applyFill="1" applyBorder="1"/>
    <xf numFmtId="3" fontId="84" fillId="40" borderId="0" xfId="0" applyNumberFormat="1" applyFont="1" applyFill="1" applyBorder="1"/>
    <xf numFmtId="193" fontId="84" fillId="40" borderId="97" xfId="83" applyNumberFormat="1" applyFont="1" applyFill="1" applyBorder="1"/>
    <xf numFmtId="49" fontId="139" fillId="41" borderId="144" xfId="0" applyNumberFormat="1" applyFont="1" applyFill="1" applyBorder="1" applyAlignment="1">
      <alignment horizontal="left" indent="1"/>
    </xf>
    <xf numFmtId="193" fontId="139" fillId="41" borderId="97" xfId="83" applyNumberFormat="1" applyFont="1" applyFill="1" applyBorder="1"/>
    <xf numFmtId="171" fontId="0" fillId="35" borderId="0" xfId="76" applyFont="1" applyFill="1"/>
    <xf numFmtId="49" fontId="139" fillId="36" borderId="144" xfId="0" applyNumberFormat="1" applyFont="1" applyFill="1" applyBorder="1" applyAlignment="1">
      <alignment horizontal="left" indent="1"/>
    </xf>
    <xf numFmtId="193" fontId="139" fillId="36" borderId="97" xfId="83" applyNumberFormat="1" applyFont="1" applyFill="1" applyBorder="1" applyAlignment="1">
      <alignment horizontal="right" indent="1"/>
    </xf>
    <xf numFmtId="193" fontId="139" fillId="36" borderId="97" xfId="83" applyNumberFormat="1" applyFont="1" applyFill="1" applyBorder="1"/>
    <xf numFmtId="49" fontId="141" fillId="34" borderId="144" xfId="0" applyNumberFormat="1" applyFont="1" applyFill="1" applyBorder="1" applyAlignment="1">
      <alignment horizontal="left" indent="1"/>
    </xf>
    <xf numFmtId="193" fontId="141" fillId="34" borderId="97" xfId="83" applyNumberFormat="1" applyFont="1" applyFill="1" applyBorder="1"/>
    <xf numFmtId="49" fontId="131" fillId="34" borderId="146" xfId="0" applyNumberFormat="1" applyFont="1" applyFill="1" applyBorder="1" applyAlignment="1">
      <alignment horizontal="left" indent="1"/>
    </xf>
    <xf numFmtId="171" fontId="142" fillId="34" borderId="153" xfId="76" applyFont="1" applyFill="1" applyBorder="1"/>
    <xf numFmtId="193" fontId="142" fillId="34" borderId="153" xfId="76" applyNumberFormat="1" applyFont="1" applyFill="1" applyBorder="1"/>
    <xf numFmtId="3" fontId="63" fillId="0" borderId="0" xfId="0" applyNumberFormat="1" applyFont="1"/>
    <xf numFmtId="194" fontId="142" fillId="34" borderId="153" xfId="76" applyNumberFormat="1" applyFont="1" applyFill="1" applyBorder="1"/>
    <xf numFmtId="195" fontId="131" fillId="42" borderId="80" xfId="0" applyNumberFormat="1" applyFont="1" applyFill="1" applyBorder="1" applyAlignment="1">
      <alignment horizontal="center" vertical="center"/>
    </xf>
    <xf numFmtId="195" fontId="131" fillId="42" borderId="16" xfId="0" applyNumberFormat="1" applyFont="1" applyFill="1" applyBorder="1" applyAlignment="1">
      <alignment horizontal="center" vertical="center"/>
    </xf>
    <xf numFmtId="195" fontId="131" fillId="42" borderId="126" xfId="0" applyNumberFormat="1" applyFont="1" applyFill="1" applyBorder="1" applyAlignment="1">
      <alignment vertical="center"/>
    </xf>
    <xf numFmtId="195" fontId="144" fillId="36" borderId="42" xfId="0" applyNumberFormat="1" applyFont="1" applyFill="1" applyBorder="1" applyAlignment="1">
      <alignment horizontal="center" vertical="center"/>
    </xf>
    <xf numFmtId="49" fontId="88" fillId="0" borderId="19" xfId="0" applyNumberFormat="1" applyFont="1" applyFill="1" applyBorder="1"/>
    <xf numFmtId="193" fontId="88" fillId="0" borderId="71" xfId="83" applyNumberFormat="1" applyFont="1" applyFill="1" applyBorder="1"/>
    <xf numFmtId="193" fontId="88" fillId="0" borderId="20" xfId="83" applyNumberFormat="1" applyFont="1" applyFill="1" applyBorder="1"/>
    <xf numFmtId="49" fontId="84" fillId="40" borderId="41" xfId="0" applyNumberFormat="1" applyFont="1" applyFill="1" applyBorder="1"/>
    <xf numFmtId="193" fontId="84" fillId="43" borderId="97" xfId="83" applyNumberFormat="1" applyFont="1" applyFill="1" applyBorder="1"/>
    <xf numFmtId="193" fontId="84" fillId="36" borderId="42" xfId="83" applyNumberFormat="1" applyFont="1" applyFill="1" applyBorder="1"/>
    <xf numFmtId="193" fontId="84" fillId="36" borderId="98" xfId="83" applyNumberFormat="1" applyFont="1" applyFill="1" applyBorder="1"/>
    <xf numFmtId="49" fontId="139" fillId="41" borderId="41" xfId="0" applyNumberFormat="1" applyFont="1" applyFill="1" applyBorder="1" applyAlignment="1">
      <alignment horizontal="left" indent="1"/>
    </xf>
    <xf numFmtId="193" fontId="139" fillId="36" borderId="42" xfId="83" applyNumberFormat="1" applyFont="1" applyFill="1" applyBorder="1"/>
    <xf numFmtId="193" fontId="139" fillId="36" borderId="98" xfId="83" applyNumberFormat="1" applyFont="1" applyFill="1" applyBorder="1"/>
    <xf numFmtId="49" fontId="139" fillId="36" borderId="41" xfId="0" applyNumberFormat="1" applyFont="1" applyFill="1" applyBorder="1" applyAlignment="1">
      <alignment horizontal="left" indent="1"/>
    </xf>
    <xf numFmtId="193" fontId="139" fillId="36" borderId="42" xfId="83" applyNumberFormat="1" applyFont="1" applyFill="1" applyBorder="1" applyAlignment="1">
      <alignment horizontal="right" indent="1"/>
    </xf>
    <xf numFmtId="193" fontId="139" fillId="36" borderId="98" xfId="83" applyNumberFormat="1" applyFont="1" applyFill="1" applyBorder="1" applyAlignment="1">
      <alignment horizontal="right" indent="1"/>
    </xf>
    <xf numFmtId="49" fontId="141" fillId="34" borderId="41" xfId="0" applyNumberFormat="1" applyFont="1" applyFill="1" applyBorder="1" applyAlignment="1">
      <alignment horizontal="left" indent="1"/>
    </xf>
    <xf numFmtId="193" fontId="141" fillId="42" borderId="97" xfId="83" applyNumberFormat="1" applyFont="1" applyFill="1" applyBorder="1"/>
    <xf numFmtId="193" fontId="145" fillId="36" borderId="42" xfId="83" applyNumberFormat="1" applyFont="1" applyFill="1" applyBorder="1"/>
    <xf numFmtId="193" fontId="145" fillId="36" borderId="98" xfId="83" applyNumberFormat="1" applyFont="1" applyFill="1" applyBorder="1"/>
    <xf numFmtId="49" fontId="131" fillId="34" borderId="41" xfId="0" applyNumberFormat="1" applyFont="1" applyFill="1" applyBorder="1" applyAlignment="1">
      <alignment horizontal="left" indent="1"/>
    </xf>
    <xf numFmtId="193" fontId="142" fillId="44" borderId="97" xfId="76" applyNumberFormat="1" applyFont="1" applyFill="1" applyBorder="1"/>
    <xf numFmtId="193" fontId="142" fillId="44" borderId="98" xfId="76" applyNumberFormat="1" applyFont="1" applyFill="1" applyBorder="1"/>
    <xf numFmtId="193" fontId="144" fillId="36" borderId="42" xfId="76" applyNumberFormat="1" applyFont="1" applyFill="1" applyBorder="1"/>
    <xf numFmtId="193" fontId="144" fillId="36" borderId="98" xfId="76" applyNumberFormat="1" applyFont="1" applyFill="1" applyBorder="1"/>
    <xf numFmtId="0" fontId="75" fillId="35" borderId="0" xfId="96" applyFont="1" applyFill="1" applyBorder="1"/>
    <xf numFmtId="1" fontId="131" fillId="34" borderId="42" xfId="83" applyNumberFormat="1" applyFont="1" applyFill="1" applyBorder="1" applyAlignment="1">
      <alignment horizontal="center" vertical="center"/>
    </xf>
    <xf numFmtId="0" fontId="75" fillId="0" borderId="0" xfId="96" applyFont="1" applyBorder="1"/>
    <xf numFmtId="37" fontId="88" fillId="45" borderId="16" xfId="96" applyNumberFormat="1" applyFont="1" applyFill="1" applyBorder="1" applyAlignment="1" applyProtection="1">
      <alignment horizontal="left"/>
    </xf>
    <xf numFmtId="193" fontId="88" fillId="0" borderId="19" xfId="83" applyNumberFormat="1" applyFont="1" applyFill="1" applyBorder="1"/>
    <xf numFmtId="193" fontId="75" fillId="35" borderId="0" xfId="96" applyNumberFormat="1" applyFont="1" applyFill="1" applyBorder="1"/>
    <xf numFmtId="193" fontId="75" fillId="0" borderId="0" xfId="96" applyNumberFormat="1" applyFont="1" applyBorder="1"/>
    <xf numFmtId="37" fontId="88" fillId="45" borderId="19" xfId="96" applyNumberFormat="1" applyFont="1" applyFill="1" applyBorder="1" applyAlignment="1" applyProtection="1">
      <alignment horizontal="left"/>
    </xf>
    <xf numFmtId="173" fontId="75" fillId="35" borderId="0" xfId="56" applyNumberFormat="1" applyFont="1" applyFill="1" applyBorder="1"/>
    <xf numFmtId="173" fontId="75" fillId="0" borderId="0" xfId="56" applyNumberFormat="1" applyFont="1" applyBorder="1"/>
    <xf numFmtId="37" fontId="88" fillId="45" borderId="95" xfId="96" applyNumberFormat="1" applyFont="1" applyFill="1" applyBorder="1" applyAlignment="1" applyProtection="1">
      <alignment horizontal="left"/>
    </xf>
    <xf numFmtId="193" fontId="138" fillId="34" borderId="41" xfId="83" applyNumberFormat="1" applyFont="1" applyFill="1" applyBorder="1" applyAlignment="1">
      <alignment vertical="center"/>
    </xf>
    <xf numFmtId="193" fontId="138" fillId="34" borderId="42" xfId="83" applyNumberFormat="1" applyFont="1" applyFill="1" applyBorder="1" applyAlignment="1">
      <alignment vertical="center"/>
    </xf>
    <xf numFmtId="37" fontId="75" fillId="45" borderId="0" xfId="96" applyNumberFormat="1" applyFont="1" applyFill="1" applyBorder="1" applyAlignment="1" applyProtection="1">
      <alignment horizontal="left"/>
    </xf>
    <xf numFmtId="37" fontId="88" fillId="45" borderId="0" xfId="96" applyNumberFormat="1" applyFont="1" applyFill="1" applyBorder="1"/>
    <xf numFmtId="0" fontId="78" fillId="35" borderId="0" xfId="96" applyFont="1" applyFill="1" applyBorder="1"/>
    <xf numFmtId="0" fontId="78" fillId="0" borderId="0" xfId="96" applyFont="1" applyBorder="1"/>
    <xf numFmtId="37" fontId="75" fillId="45" borderId="0" xfId="96" applyNumberFormat="1" applyFont="1" applyFill="1" applyBorder="1"/>
    <xf numFmtId="193" fontId="75" fillId="45" borderId="19" xfId="83" applyNumberFormat="1" applyFont="1" applyFill="1" applyBorder="1"/>
    <xf numFmtId="193" fontId="75" fillId="45" borderId="71" xfId="83" applyNumberFormat="1" applyFont="1" applyFill="1" applyBorder="1"/>
    <xf numFmtId="193" fontId="75" fillId="45" borderId="20" xfId="83" applyNumberFormat="1" applyFont="1" applyFill="1" applyBorder="1"/>
    <xf numFmtId="37" fontId="75" fillId="0" borderId="0" xfId="96" applyNumberFormat="1" applyFont="1" applyFill="1" applyBorder="1"/>
    <xf numFmtId="37" fontId="88" fillId="46" borderId="0" xfId="96" applyNumberFormat="1" applyFont="1" applyFill="1" applyBorder="1"/>
    <xf numFmtId="193" fontId="88" fillId="32" borderId="19" xfId="83" applyNumberFormat="1" applyFont="1" applyFill="1" applyBorder="1"/>
    <xf numFmtId="193" fontId="88" fillId="32" borderId="71" xfId="83" applyNumberFormat="1" applyFont="1" applyFill="1" applyBorder="1"/>
    <xf numFmtId="193" fontId="75" fillId="0" borderId="19" xfId="83" applyNumberFormat="1" applyFont="1" applyBorder="1"/>
    <xf numFmtId="193" fontId="75" fillId="0" borderId="71" xfId="83" applyNumberFormat="1" applyFont="1" applyBorder="1"/>
    <xf numFmtId="193" fontId="75" fillId="0" borderId="20" xfId="83" applyNumberFormat="1" applyFont="1" applyBorder="1"/>
    <xf numFmtId="0" fontId="84" fillId="25" borderId="41" xfId="0" applyFont="1" applyFill="1" applyBorder="1"/>
    <xf numFmtId="193" fontId="138" fillId="25" borderId="41" xfId="83" applyNumberFormat="1" applyFont="1" applyFill="1" applyBorder="1" applyAlignment="1">
      <alignment vertical="center"/>
    </xf>
    <xf numFmtId="193" fontId="138" fillId="25" borderId="42" xfId="83" applyNumberFormat="1" applyFont="1" applyFill="1" applyBorder="1" applyAlignment="1">
      <alignment vertical="center"/>
    </xf>
    <xf numFmtId="0" fontId="131" fillId="34" borderId="11" xfId="96" applyFont="1" applyFill="1" applyBorder="1"/>
    <xf numFmtId="193" fontId="131" fillId="34" borderId="95" xfId="83" applyNumberFormat="1" applyFont="1" applyFill="1" applyBorder="1"/>
    <xf numFmtId="193" fontId="131" fillId="34" borderId="126" xfId="83" applyNumberFormat="1" applyFont="1" applyFill="1" applyBorder="1"/>
    <xf numFmtId="37" fontId="75" fillId="35" borderId="0" xfId="96" applyNumberFormat="1" applyFont="1" applyFill="1" applyBorder="1"/>
    <xf numFmtId="0" fontId="131" fillId="34" borderId="13" xfId="96" applyNumberFormat="1" applyFont="1" applyFill="1" applyBorder="1" applyAlignment="1" applyProtection="1">
      <alignment horizontal="center"/>
    </xf>
    <xf numFmtId="37" fontId="88" fillId="45" borderId="28" xfId="96" applyNumberFormat="1" applyFont="1" applyFill="1" applyBorder="1" applyAlignment="1" applyProtection="1">
      <alignment horizontal="left"/>
    </xf>
    <xf numFmtId="37" fontId="88" fillId="40" borderId="13" xfId="96" applyNumberFormat="1" applyFont="1" applyFill="1" applyBorder="1"/>
    <xf numFmtId="37" fontId="88" fillId="45" borderId="0" xfId="96" applyNumberFormat="1" applyFont="1" applyFill="1" applyBorder="1" applyAlignment="1" applyProtection="1">
      <alignment horizontal="left"/>
    </xf>
    <xf numFmtId="37" fontId="84" fillId="40" borderId="13" xfId="96" applyNumberFormat="1" applyFont="1" applyFill="1" applyBorder="1"/>
    <xf numFmtId="37" fontId="88" fillId="45" borderId="11" xfId="96" applyNumberFormat="1" applyFont="1" applyFill="1" applyBorder="1" applyAlignment="1" applyProtection="1">
      <alignment horizontal="left"/>
    </xf>
    <xf numFmtId="0" fontId="75" fillId="35" borderId="0" xfId="96" applyFont="1" applyFill="1" applyBorder="1" applyAlignment="1">
      <alignment wrapText="1"/>
    </xf>
    <xf numFmtId="193" fontId="88" fillId="0" borderId="126" xfId="83" applyNumberFormat="1" applyFont="1" applyFill="1" applyBorder="1"/>
    <xf numFmtId="0" fontId="92" fillId="35" borderId="0" xfId="0" applyFont="1" applyFill="1"/>
    <xf numFmtId="0" fontId="132" fillId="34" borderId="0" xfId="0" applyFont="1" applyFill="1" applyAlignment="1">
      <alignment horizontal="center"/>
    </xf>
    <xf numFmtId="0" fontId="84" fillId="0" borderId="13" xfId="0" applyFont="1" applyFill="1" applyBorder="1" applyAlignment="1">
      <alignment horizontal="center" vertical="center"/>
    </xf>
    <xf numFmtId="193" fontId="92" fillId="0" borderId="13" xfId="83" applyNumberFormat="1" applyFont="1" applyBorder="1"/>
    <xf numFmtId="0" fontId="0" fillId="26" borderId="13" xfId="0" applyFill="1" applyBorder="1" applyAlignment="1">
      <alignment horizontal="center"/>
    </xf>
    <xf numFmtId="0" fontId="0" fillId="26" borderId="13" xfId="0" applyFill="1" applyBorder="1"/>
    <xf numFmtId="0" fontId="148" fillId="26" borderId="13" xfId="0" applyFont="1" applyFill="1" applyBorder="1" applyAlignment="1">
      <alignment horizontal="center" vertical="center" readingOrder="1"/>
    </xf>
    <xf numFmtId="10" fontId="148" fillId="26" borderId="13" xfId="0" applyNumberFormat="1" applyFont="1" applyFill="1" applyBorder="1" applyAlignment="1">
      <alignment horizontal="center" vertical="center" readingOrder="1"/>
    </xf>
    <xf numFmtId="9" fontId="148" fillId="26" borderId="13" xfId="0" applyNumberFormat="1" applyFont="1" applyFill="1" applyBorder="1" applyAlignment="1">
      <alignment horizontal="center" vertical="center" readingOrder="1"/>
    </xf>
    <xf numFmtId="0" fontId="132" fillId="34" borderId="13" xfId="0" applyFont="1" applyFill="1" applyBorder="1" applyAlignment="1">
      <alignment horizontal="center"/>
    </xf>
    <xf numFmtId="195" fontId="92" fillId="0" borderId="13" xfId="0" applyNumberFormat="1" applyFont="1" applyBorder="1" applyAlignment="1">
      <alignment horizontal="center" vertical="center"/>
    </xf>
    <xf numFmtId="0" fontId="92" fillId="0" borderId="13" xfId="0" applyFont="1" applyBorder="1" applyAlignment="1">
      <alignment horizontal="center" wrapText="1"/>
    </xf>
    <xf numFmtId="0" fontId="92" fillId="0" borderId="13" xfId="0" applyFont="1" applyBorder="1" applyAlignment="1">
      <alignment wrapText="1"/>
    </xf>
    <xf numFmtId="193" fontId="0" fillId="0" borderId="13" xfId="83" applyNumberFormat="1" applyFont="1" applyBorder="1"/>
    <xf numFmtId="4" fontId="0" fillId="35" borderId="0" xfId="0" applyNumberFormat="1" applyFill="1"/>
    <xf numFmtId="0" fontId="147" fillId="35" borderId="0" xfId="0" applyFont="1" applyFill="1"/>
    <xf numFmtId="0" fontId="130" fillId="35" borderId="0" xfId="0" applyFont="1" applyFill="1" applyAlignment="1">
      <alignment horizontal="center" readingOrder="1"/>
    </xf>
    <xf numFmtId="3" fontId="130" fillId="35" borderId="0" xfId="0" applyNumberFormat="1" applyFont="1" applyFill="1"/>
    <xf numFmtId="0" fontId="149" fillId="0" borderId="41" xfId="0" applyFont="1" applyBorder="1"/>
    <xf numFmtId="0" fontId="0" fillId="0" borderId="98" xfId="0" applyBorder="1"/>
    <xf numFmtId="0" fontId="132" fillId="34" borderId="21" xfId="0" applyFont="1" applyFill="1" applyBorder="1" applyAlignment="1">
      <alignment horizontal="center"/>
    </xf>
    <xf numFmtId="0" fontId="2" fillId="0" borderId="16" xfId="0" applyFont="1" applyBorder="1" applyAlignment="1">
      <alignment horizontal="left" indent="1"/>
    </xf>
    <xf numFmtId="193" fontId="92" fillId="46" borderId="69" xfId="83" applyNumberFormat="1" applyFont="1" applyFill="1" applyBorder="1" applyAlignment="1">
      <alignment horizontal="center"/>
    </xf>
    <xf numFmtId="0" fontId="2" fillId="0" borderId="19" xfId="0" applyFont="1" applyBorder="1" applyAlignment="1">
      <alignment horizontal="left" indent="1"/>
    </xf>
    <xf numFmtId="0" fontId="0" fillId="0" borderId="0" xfId="0" applyBorder="1" applyAlignment="1">
      <alignment horizontal="left" indent="1"/>
    </xf>
    <xf numFmtId="193" fontId="92" fillId="46" borderId="71" xfId="83" applyNumberFormat="1" applyFont="1" applyFill="1" applyBorder="1" applyAlignment="1">
      <alignment horizontal="center"/>
    </xf>
    <xf numFmtId="193" fontId="92" fillId="46" borderId="71" xfId="83" applyNumberFormat="1" applyFont="1" applyFill="1" applyBorder="1"/>
    <xf numFmtId="0" fontId="2" fillId="0" borderId="95" xfId="0" applyFont="1" applyBorder="1" applyAlignment="1">
      <alignment horizontal="left" indent="1"/>
    </xf>
    <xf numFmtId="0" fontId="0" fillId="0" borderId="12" xfId="0" applyBorder="1" applyAlignment="1">
      <alignment horizontal="left" indent="1"/>
    </xf>
    <xf numFmtId="193" fontId="92" fillId="46" borderId="126" xfId="83" applyNumberFormat="1" applyFont="1" applyFill="1" applyBorder="1"/>
    <xf numFmtId="0" fontId="149" fillId="0" borderId="0" xfId="0" applyFont="1"/>
    <xf numFmtId="0" fontId="2" fillId="0" borderId="16" xfId="0" applyFont="1" applyBorder="1"/>
    <xf numFmtId="193" fontId="92" fillId="40" borderId="71" xfId="83" applyNumberFormat="1" applyFont="1" applyFill="1" applyBorder="1"/>
    <xf numFmtId="0" fontId="2" fillId="0" borderId="19" xfId="0" applyFont="1" applyBorder="1"/>
    <xf numFmtId="9" fontId="2" fillId="0" borderId="0" xfId="0" applyNumberFormat="1" applyFont="1" applyBorder="1"/>
    <xf numFmtId="9" fontId="0" fillId="0" borderId="0" xfId="0" applyNumberFormat="1" applyBorder="1" applyAlignment="1">
      <alignment horizontal="center"/>
    </xf>
    <xf numFmtId="3" fontId="0" fillId="0" borderId="0" xfId="0" applyNumberFormat="1" applyFill="1"/>
    <xf numFmtId="0" fontId="140" fillId="35" borderId="0" xfId="0" applyFont="1" applyFill="1" applyAlignment="1">
      <alignment horizontal="center"/>
    </xf>
    <xf numFmtId="0" fontId="88" fillId="0" borderId="13" xfId="0" applyFont="1" applyBorder="1"/>
    <xf numFmtId="196" fontId="0" fillId="0" borderId="13" xfId="76" applyNumberFormat="1" applyFont="1" applyBorder="1"/>
    <xf numFmtId="169" fontId="0" fillId="0" borderId="13" xfId="0" applyNumberFormat="1" applyBorder="1"/>
    <xf numFmtId="10" fontId="0" fillId="0" borderId="13" xfId="56" applyNumberFormat="1" applyFont="1" applyBorder="1"/>
    <xf numFmtId="0" fontId="88" fillId="35" borderId="0" xfId="0" applyFont="1" applyFill="1" applyBorder="1"/>
    <xf numFmtId="0" fontId="88" fillId="0" borderId="27" xfId="0" applyFont="1" applyBorder="1"/>
    <xf numFmtId="193" fontId="92" fillId="0" borderId="27" xfId="83" applyNumberFormat="1" applyFont="1" applyBorder="1"/>
    <xf numFmtId="0" fontId="0" fillId="0" borderId="27" xfId="0" applyBorder="1"/>
    <xf numFmtId="0" fontId="131" fillId="34" borderId="41" xfId="0" applyFont="1" applyFill="1" applyBorder="1" applyAlignment="1">
      <alignment horizontal="center"/>
    </xf>
    <xf numFmtId="195" fontId="132" fillId="34" borderId="97" xfId="0" applyNumberFormat="1" applyFont="1" applyFill="1" applyBorder="1" applyAlignment="1">
      <alignment horizontal="center"/>
    </xf>
    <xf numFmtId="195" fontId="132" fillId="34" borderId="98" xfId="0" applyNumberFormat="1" applyFont="1" applyFill="1" applyBorder="1" applyAlignment="1">
      <alignment horizontal="center"/>
    </xf>
    <xf numFmtId="3" fontId="0" fillId="0" borderId="27" xfId="0" applyNumberFormat="1" applyBorder="1"/>
    <xf numFmtId="194" fontId="0" fillId="0" borderId="13" xfId="76" applyNumberFormat="1" applyFont="1" applyBorder="1"/>
    <xf numFmtId="3" fontId="150" fillId="0" borderId="13" xfId="0" applyNumberFormat="1" applyFont="1" applyBorder="1"/>
    <xf numFmtId="197" fontId="0" fillId="0" borderId="13" xfId="0" applyNumberFormat="1" applyBorder="1"/>
    <xf numFmtId="0" fontId="84" fillId="0" borderId="13" xfId="0" applyFont="1" applyBorder="1"/>
    <xf numFmtId="10" fontId="92" fillId="0" borderId="13" xfId="0" applyNumberFormat="1" applyFont="1" applyBorder="1"/>
    <xf numFmtId="0" fontId="92" fillId="0" borderId="0" xfId="0" applyFont="1"/>
    <xf numFmtId="0" fontId="151" fillId="34" borderId="13" xfId="0" applyFont="1" applyFill="1" applyBorder="1" applyAlignment="1">
      <alignment horizontal="center"/>
    </xf>
    <xf numFmtId="0" fontId="2" fillId="0" borderId="13" xfId="0" applyFont="1" applyBorder="1"/>
    <xf numFmtId="10" fontId="0" fillId="35" borderId="0" xfId="0" applyNumberFormat="1" applyFill="1"/>
    <xf numFmtId="0" fontId="34" fillId="35" borderId="0" xfId="35" applyFill="1" applyBorder="1" applyAlignment="1" applyProtection="1"/>
    <xf numFmtId="0" fontId="131" fillId="34" borderId="13" xfId="0" applyFont="1" applyFill="1" applyBorder="1" applyAlignment="1">
      <alignment horizontal="center"/>
    </xf>
    <xf numFmtId="10" fontId="131" fillId="34" borderId="13" xfId="56" applyNumberFormat="1" applyFont="1" applyFill="1" applyBorder="1" applyAlignment="1">
      <alignment horizontal="center"/>
    </xf>
    <xf numFmtId="10" fontId="36" fillId="0" borderId="13" xfId="56" applyNumberFormat="1" applyFont="1" applyBorder="1"/>
    <xf numFmtId="0" fontId="36" fillId="0" borderId="13" xfId="0" applyFont="1" applyBorder="1"/>
    <xf numFmtId="0" fontId="36" fillId="47" borderId="100" xfId="0" applyFont="1" applyFill="1" applyBorder="1"/>
    <xf numFmtId="0" fontId="36" fillId="47" borderId="101" xfId="0" applyFont="1" applyFill="1" applyBorder="1"/>
    <xf numFmtId="0" fontId="36" fillId="47" borderId="102" xfId="0" applyFont="1" applyFill="1" applyBorder="1"/>
    <xf numFmtId="0" fontId="36" fillId="47" borderId="49" xfId="0" applyFont="1" applyFill="1" applyBorder="1"/>
    <xf numFmtId="0" fontId="36" fillId="47" borderId="0" xfId="0" applyFont="1" applyFill="1" applyBorder="1"/>
    <xf numFmtId="0" fontId="36" fillId="47" borderId="50" xfId="0" applyFont="1" applyFill="1" applyBorder="1"/>
    <xf numFmtId="0" fontId="36" fillId="47" borderId="0" xfId="0" applyFont="1" applyFill="1"/>
    <xf numFmtId="0" fontId="36" fillId="47" borderId="54" xfId="0" applyFont="1" applyFill="1" applyBorder="1"/>
    <xf numFmtId="0" fontId="36" fillId="47" borderId="154" xfId="0" applyFont="1" applyFill="1" applyBorder="1"/>
    <xf numFmtId="0" fontId="36" fillId="47" borderId="155" xfId="0" applyFont="1" applyFill="1" applyBorder="1"/>
    <xf numFmtId="0" fontId="152" fillId="0" borderId="0" xfId="0" applyFont="1" applyFill="1"/>
    <xf numFmtId="0" fontId="100" fillId="47" borderId="65" xfId="0" applyFont="1" applyFill="1" applyBorder="1"/>
    <xf numFmtId="0" fontId="34" fillId="0" borderId="0" xfId="35" applyFill="1" applyAlignment="1" applyProtection="1"/>
    <xf numFmtId="0" fontId="100" fillId="47" borderId="53" xfId="0" applyFont="1" applyFill="1" applyBorder="1"/>
    <xf numFmtId="0" fontId="101" fillId="47" borderId="104" xfId="0" applyFont="1" applyFill="1" applyBorder="1"/>
    <xf numFmtId="0" fontId="100" fillId="47" borderId="60" xfId="0" applyFont="1" applyFill="1" applyBorder="1"/>
    <xf numFmtId="0" fontId="100" fillId="47" borderId="88" xfId="0" applyFont="1" applyFill="1" applyBorder="1"/>
    <xf numFmtId="0" fontId="100" fillId="47" borderId="107" xfId="0" applyFont="1" applyFill="1" applyBorder="1"/>
    <xf numFmtId="0" fontId="153" fillId="0" borderId="0" xfId="0" applyFont="1"/>
    <xf numFmtId="9" fontId="0" fillId="0" borderId="0" xfId="0" applyNumberFormat="1" applyFill="1"/>
    <xf numFmtId="10" fontId="88" fillId="0" borderId="0" xfId="0" applyNumberFormat="1" applyFont="1" applyFill="1" applyBorder="1"/>
    <xf numFmtId="0" fontId="154" fillId="0" borderId="0" xfId="0" applyFont="1" applyFill="1"/>
    <xf numFmtId="0" fontId="84" fillId="47" borderId="156" xfId="0" applyFont="1" applyFill="1" applyBorder="1" applyAlignment="1">
      <alignment horizontal="left" indent="1"/>
    </xf>
    <xf numFmtId="10" fontId="88" fillId="0" borderId="157" xfId="0" applyNumberFormat="1" applyFont="1" applyFill="1" applyBorder="1"/>
    <xf numFmtId="0" fontId="84" fillId="47" borderId="158" xfId="0" applyFont="1" applyFill="1" applyBorder="1" applyAlignment="1">
      <alignment horizontal="left" wrapText="1" indent="1"/>
    </xf>
    <xf numFmtId="10" fontId="88" fillId="0" borderId="159" xfId="0" applyNumberFormat="1" applyFont="1" applyFill="1" applyBorder="1"/>
    <xf numFmtId="0" fontId="84" fillId="47" borderId="158" xfId="0" applyFont="1" applyFill="1" applyBorder="1" applyAlignment="1">
      <alignment horizontal="left" indent="1"/>
    </xf>
    <xf numFmtId="194" fontId="88" fillId="0" borderId="159" xfId="76" applyNumberFormat="1" applyFont="1" applyFill="1" applyBorder="1"/>
    <xf numFmtId="0" fontId="84" fillId="47" borderId="160" xfId="0" applyFont="1" applyFill="1" applyBorder="1" applyAlignment="1">
      <alignment horizontal="left" indent="1"/>
    </xf>
    <xf numFmtId="194" fontId="88" fillId="0" borderId="161" xfId="76" applyNumberFormat="1" applyFont="1" applyFill="1" applyBorder="1"/>
    <xf numFmtId="0" fontId="155" fillId="0" borderId="162" xfId="0" applyFont="1" applyFill="1" applyBorder="1" applyAlignment="1">
      <alignment horizontal="center"/>
    </xf>
    <xf numFmtId="0" fontId="156" fillId="0" borderId="13" xfId="0" applyFont="1" applyBorder="1" applyAlignment="1">
      <alignment wrapText="1"/>
    </xf>
    <xf numFmtId="0" fontId="156" fillId="0" borderId="31" xfId="0" applyFont="1" applyBorder="1" applyAlignment="1">
      <alignment horizontal="center" wrapText="1"/>
    </xf>
    <xf numFmtId="2" fontId="156" fillId="0" borderId="31" xfId="0" applyNumberFormat="1" applyFont="1" applyBorder="1" applyAlignment="1">
      <alignment horizontal="center" wrapText="1"/>
    </xf>
    <xf numFmtId="0" fontId="157" fillId="47" borderId="13" xfId="0" applyFont="1" applyFill="1" applyBorder="1"/>
    <xf numFmtId="3" fontId="128" fillId="0" borderId="13" xfId="0" applyNumberFormat="1" applyFont="1" applyBorder="1"/>
    <xf numFmtId="9" fontId="128" fillId="0" borderId="13" xfId="0" applyNumberFormat="1" applyFont="1" applyBorder="1"/>
    <xf numFmtId="173" fontId="128" fillId="0" borderId="13" xfId="0" applyNumberFormat="1" applyFont="1" applyBorder="1"/>
    <xf numFmtId="172" fontId="128" fillId="0" borderId="13" xfId="37" applyNumberFormat="1" applyFont="1" applyBorder="1"/>
    <xf numFmtId="43" fontId="128" fillId="0" borderId="13" xfId="37" applyNumberFormat="1" applyFont="1" applyBorder="1"/>
    <xf numFmtId="0" fontId="36" fillId="0" borderId="13" xfId="0" applyFont="1" applyBorder="1" applyAlignment="1">
      <alignment horizontal="center"/>
    </xf>
    <xf numFmtId="9" fontId="0" fillId="0" borderId="13" xfId="0" applyNumberFormat="1" applyBorder="1" applyAlignment="1">
      <alignment horizontal="center"/>
    </xf>
    <xf numFmtId="9" fontId="0" fillId="0" borderId="25" xfId="0" applyNumberFormat="1" applyBorder="1" applyAlignment="1">
      <alignment horizontal="center"/>
    </xf>
    <xf numFmtId="0" fontId="36" fillId="0" borderId="0" xfId="0" applyFont="1" applyBorder="1" applyAlignment="1">
      <alignment horizontal="center"/>
    </xf>
    <xf numFmtId="3" fontId="0" fillId="0" borderId="13" xfId="0" applyNumberFormat="1" applyBorder="1" applyAlignment="1">
      <alignment horizontal="center"/>
    </xf>
    <xf numFmtId="1" fontId="0" fillId="0" borderId="13" xfId="0" applyNumberFormat="1" applyBorder="1" applyAlignment="1">
      <alignment horizontal="center"/>
    </xf>
    <xf numFmtId="2" fontId="0" fillId="0" borderId="13" xfId="0" applyNumberFormat="1" applyBorder="1" applyAlignment="1">
      <alignment horizontal="center"/>
    </xf>
    <xf numFmtId="0" fontId="36" fillId="0" borderId="13" xfId="0" applyFont="1" applyFill="1" applyBorder="1" applyAlignment="1">
      <alignment horizontal="center"/>
    </xf>
    <xf numFmtId="10" fontId="0" fillId="0" borderId="13" xfId="55" applyNumberFormat="1" applyFont="1" applyBorder="1" applyAlignment="1">
      <alignment horizontal="center"/>
    </xf>
    <xf numFmtId="198" fontId="0" fillId="0" borderId="13" xfId="97" applyNumberFormat="1" applyFont="1" applyBorder="1"/>
    <xf numFmtId="0" fontId="36" fillId="28" borderId="27" xfId="0" applyFont="1" applyFill="1" applyBorder="1" applyAlignment="1">
      <alignment horizontal="center"/>
    </xf>
    <xf numFmtId="198" fontId="0" fillId="28" borderId="27" xfId="0" applyNumberFormat="1" applyFill="1" applyBorder="1"/>
    <xf numFmtId="198" fontId="0" fillId="0" borderId="0" xfId="0" applyNumberFormat="1"/>
    <xf numFmtId="0" fontId="36" fillId="0" borderId="0" xfId="0" applyFont="1" applyFill="1" applyBorder="1" applyAlignment="1">
      <alignment horizontal="center"/>
    </xf>
    <xf numFmtId="198" fontId="0" fillId="0" borderId="0" xfId="97" applyNumberFormat="1" applyFont="1"/>
    <xf numFmtId="0" fontId="114" fillId="48" borderId="13" xfId="0" applyFont="1" applyFill="1" applyBorder="1" applyAlignment="1">
      <alignment horizontal="center"/>
    </xf>
    <xf numFmtId="10" fontId="0" fillId="0" borderId="13" xfId="0" applyNumberFormat="1" applyFont="1" applyBorder="1" applyAlignment="1">
      <alignment horizontal="center"/>
    </xf>
    <xf numFmtId="10" fontId="0" fillId="0" borderId="13" xfId="0" applyNumberFormat="1" applyBorder="1" applyAlignment="1">
      <alignment horizontal="center"/>
    </xf>
    <xf numFmtId="10" fontId="150" fillId="0" borderId="13" xfId="0" applyNumberFormat="1" applyFont="1" applyBorder="1" applyAlignment="1">
      <alignment horizontal="center" vertical="center"/>
    </xf>
    <xf numFmtId="0" fontId="0" fillId="0" borderId="80" xfId="0" applyFill="1" applyBorder="1" applyAlignment="1"/>
    <xf numFmtId="0" fontId="0" fillId="0" borderId="71" xfId="0" applyFill="1" applyBorder="1" applyAlignment="1"/>
    <xf numFmtId="0" fontId="0" fillId="0" borderId="126" xfId="0" applyFill="1" applyBorder="1" applyAlignment="1"/>
    <xf numFmtId="0" fontId="120" fillId="0" borderId="43" xfId="0" applyFont="1" applyFill="1" applyBorder="1" applyAlignment="1">
      <alignment horizontal="centerContinuous"/>
    </xf>
    <xf numFmtId="0" fontId="0" fillId="0" borderId="19" xfId="0" applyFill="1" applyBorder="1" applyAlignment="1"/>
    <xf numFmtId="0" fontId="0" fillId="0" borderId="20" xfId="0" applyFill="1" applyBorder="1" applyAlignment="1"/>
    <xf numFmtId="0" fontId="0" fillId="0" borderId="95" xfId="0" applyFill="1" applyBorder="1" applyAlignment="1"/>
    <xf numFmtId="0" fontId="0" fillId="0" borderId="96" xfId="0" applyFill="1" applyBorder="1" applyAlignment="1"/>
    <xf numFmtId="0" fontId="120" fillId="0" borderId="77" xfId="0" applyFont="1" applyFill="1" applyBorder="1" applyAlignment="1">
      <alignment horizontal="center"/>
    </xf>
    <xf numFmtId="0" fontId="120" fillId="0" borderId="72" xfId="0" applyFont="1" applyFill="1" applyBorder="1" applyAlignment="1">
      <alignment horizontal="center"/>
    </xf>
    <xf numFmtId="0" fontId="120" fillId="0" borderId="43" xfId="0" applyFont="1" applyFill="1" applyBorder="1" applyAlignment="1">
      <alignment horizontal="center"/>
    </xf>
    <xf numFmtId="0" fontId="0" fillId="0" borderId="0" xfId="0" applyFill="1" applyBorder="1" applyAlignment="1"/>
    <xf numFmtId="0" fontId="0" fillId="0" borderId="12" xfId="0" applyFill="1" applyBorder="1" applyAlignment="1"/>
    <xf numFmtId="173" fontId="0" fillId="41" borderId="0" xfId="55" applyNumberFormat="1" applyFont="1" applyFill="1" applyBorder="1" applyAlignment="1"/>
    <xf numFmtId="173" fontId="0" fillId="41" borderId="12" xfId="55" applyNumberFormat="1" applyFont="1" applyFill="1" applyBorder="1" applyAlignment="1"/>
    <xf numFmtId="0" fontId="158" fillId="0" borderId="77" xfId="0" applyFont="1" applyFill="1" applyBorder="1" applyAlignment="1">
      <alignment horizontal="center"/>
    </xf>
    <xf numFmtId="0" fontId="158" fillId="0" borderId="72" xfId="0" applyFont="1" applyFill="1" applyBorder="1" applyAlignment="1">
      <alignment horizontal="center"/>
    </xf>
    <xf numFmtId="0" fontId="158" fillId="0" borderId="43" xfId="0" applyFont="1" applyFill="1" applyBorder="1" applyAlignment="1">
      <alignment horizontal="center"/>
    </xf>
    <xf numFmtId="0" fontId="158" fillId="41" borderId="72" xfId="0" applyFont="1" applyFill="1" applyBorder="1" applyAlignment="1">
      <alignment horizontal="center"/>
    </xf>
    <xf numFmtId="0" fontId="0" fillId="41" borderId="19" xfId="0" applyFill="1" applyBorder="1" applyAlignment="1"/>
    <xf numFmtId="0" fontId="0" fillId="41" borderId="95" xfId="0" applyFill="1" applyBorder="1" applyAlignment="1"/>
    <xf numFmtId="0" fontId="158" fillId="0" borderId="77" xfId="0" applyFont="1" applyFill="1" applyBorder="1" applyAlignment="1">
      <alignment horizontal="centerContinuous"/>
    </xf>
    <xf numFmtId="0" fontId="36" fillId="0" borderId="19" xfId="0" applyFont="1" applyBorder="1"/>
    <xf numFmtId="0" fontId="36" fillId="0" borderId="19" xfId="0" applyFont="1" applyFill="1" applyBorder="1"/>
    <xf numFmtId="0" fontId="36" fillId="0" borderId="78" xfId="0" applyFont="1" applyBorder="1"/>
    <xf numFmtId="0" fontId="131" fillId="34" borderId="42" xfId="0" applyFont="1" applyFill="1" applyBorder="1" applyAlignment="1">
      <alignment horizontal="center"/>
    </xf>
    <xf numFmtId="0" fontId="36" fillId="0" borderId="71" xfId="0" applyFont="1" applyBorder="1"/>
    <xf numFmtId="0" fontId="0" fillId="0" borderId="71" xfId="0" applyBorder="1"/>
    <xf numFmtId="0" fontId="0" fillId="0" borderId="68" xfId="0" applyBorder="1"/>
    <xf numFmtId="0" fontId="0" fillId="0" borderId="71" xfId="0" applyFill="1" applyBorder="1"/>
    <xf numFmtId="0" fontId="0" fillId="0" borderId="126" xfId="0" applyBorder="1"/>
    <xf numFmtId="193" fontId="92" fillId="46" borderId="16" xfId="83" applyNumberFormat="1" applyFont="1" applyFill="1" applyBorder="1" applyAlignment="1">
      <alignment horizontal="center"/>
    </xf>
    <xf numFmtId="193" fontId="92" fillId="46" borderId="17" xfId="83" applyNumberFormat="1" applyFont="1" applyFill="1" applyBorder="1" applyAlignment="1">
      <alignment horizontal="center"/>
    </xf>
    <xf numFmtId="195" fontId="132" fillId="34" borderId="17" xfId="0" applyNumberFormat="1" applyFont="1" applyFill="1" applyBorder="1" applyAlignment="1">
      <alignment horizontal="center"/>
    </xf>
    <xf numFmtId="193" fontId="92" fillId="46" borderId="19" xfId="83" applyNumberFormat="1" applyFont="1" applyFill="1" applyBorder="1" applyAlignment="1">
      <alignment horizontal="center"/>
    </xf>
    <xf numFmtId="10" fontId="0" fillId="41" borderId="0" xfId="55" applyNumberFormat="1" applyFont="1" applyFill="1" applyBorder="1"/>
    <xf numFmtId="10" fontId="0" fillId="49" borderId="0" xfId="55" applyNumberFormat="1" applyFont="1" applyFill="1" applyBorder="1"/>
    <xf numFmtId="193" fontId="92" fillId="49" borderId="0" xfId="83" applyNumberFormat="1" applyFont="1" applyFill="1" applyBorder="1" applyAlignment="1">
      <alignment horizontal="center"/>
    </xf>
    <xf numFmtId="193" fontId="36" fillId="49" borderId="165" xfId="0" applyNumberFormat="1" applyFont="1" applyFill="1" applyBorder="1"/>
    <xf numFmtId="193" fontId="36" fillId="49" borderId="166" xfId="0" applyNumberFormat="1" applyFont="1" applyFill="1" applyBorder="1"/>
    <xf numFmtId="0" fontId="0" fillId="49" borderId="0" xfId="0" applyFill="1" applyBorder="1"/>
    <xf numFmtId="193" fontId="36" fillId="49" borderId="78" xfId="0" applyNumberFormat="1" applyFont="1" applyFill="1" applyBorder="1"/>
    <xf numFmtId="193" fontId="36" fillId="49" borderId="164" xfId="0" applyNumberFormat="1" applyFont="1" applyFill="1" applyBorder="1"/>
    <xf numFmtId="10" fontId="0" fillId="49" borderId="12" xfId="55" applyNumberFormat="1" applyFont="1" applyFill="1" applyBorder="1"/>
    <xf numFmtId="0" fontId="0" fillId="41" borderId="0" xfId="0" applyFill="1" applyBorder="1"/>
    <xf numFmtId="0" fontId="0" fillId="41" borderId="20" xfId="0" applyFill="1" applyBorder="1"/>
    <xf numFmtId="10" fontId="0" fillId="41" borderId="0" xfId="0" applyNumberFormat="1" applyFill="1" applyBorder="1"/>
    <xf numFmtId="10" fontId="0" fillId="41" borderId="20" xfId="55" applyNumberFormat="1" applyFont="1" applyFill="1" applyBorder="1"/>
    <xf numFmtId="199" fontId="36" fillId="41" borderId="0" xfId="98" applyNumberFormat="1" applyFont="1" applyFill="1" applyBorder="1"/>
    <xf numFmtId="199" fontId="36" fillId="41" borderId="20" xfId="98" applyNumberFormat="1" applyFont="1" applyFill="1" applyBorder="1"/>
    <xf numFmtId="199" fontId="36" fillId="41" borderId="166" xfId="98" applyNumberFormat="1" applyFont="1" applyFill="1" applyBorder="1"/>
    <xf numFmtId="199" fontId="36" fillId="41" borderId="167" xfId="98" applyNumberFormat="1" applyFont="1" applyFill="1" applyBorder="1"/>
    <xf numFmtId="10" fontId="159" fillId="41" borderId="20" xfId="55" applyNumberFormat="1" applyFont="1" applyFill="1" applyBorder="1"/>
    <xf numFmtId="10" fontId="159" fillId="41" borderId="96" xfId="55" applyNumberFormat="1" applyFont="1" applyFill="1" applyBorder="1"/>
    <xf numFmtId="10" fontId="0" fillId="41" borderId="12" xfId="0" applyNumberFormat="1" applyFill="1" applyBorder="1"/>
    <xf numFmtId="10" fontId="0" fillId="41" borderId="12" xfId="55" applyNumberFormat="1" applyFont="1" applyFill="1" applyBorder="1"/>
    <xf numFmtId="199" fontId="36" fillId="41" borderId="164" xfId="98" applyNumberFormat="1" applyFont="1" applyFill="1" applyBorder="1"/>
    <xf numFmtId="199" fontId="36" fillId="41" borderId="44" xfId="98" applyNumberFormat="1" applyFont="1" applyFill="1" applyBorder="1"/>
    <xf numFmtId="200" fontId="132" fillId="34" borderId="97" xfId="0" applyNumberFormat="1" applyFont="1" applyFill="1" applyBorder="1" applyAlignment="1">
      <alignment horizontal="center"/>
    </xf>
    <xf numFmtId="200" fontId="132" fillId="34" borderId="98" xfId="0" applyNumberFormat="1" applyFont="1" applyFill="1" applyBorder="1" applyAlignment="1">
      <alignment horizontal="center"/>
    </xf>
    <xf numFmtId="200" fontId="132" fillId="48" borderId="97" xfId="0" applyNumberFormat="1" applyFont="1" applyFill="1" applyBorder="1" applyAlignment="1">
      <alignment horizontal="center"/>
    </xf>
    <xf numFmtId="0" fontId="132" fillId="48" borderId="41" xfId="51" applyFont="1" applyFill="1" applyBorder="1" applyAlignment="1"/>
    <xf numFmtId="1" fontId="130" fillId="48" borderId="97" xfId="51" applyNumberFormat="1" applyFont="1" applyFill="1" applyBorder="1" applyAlignment="1"/>
    <xf numFmtId="200" fontId="132" fillId="48" borderId="98" xfId="0" applyNumberFormat="1" applyFont="1" applyFill="1" applyBorder="1" applyAlignment="1">
      <alignment horizontal="center"/>
    </xf>
    <xf numFmtId="0" fontId="92" fillId="24" borderId="0" xfId="51" applyFont="1" applyFill="1" applyAlignment="1"/>
    <xf numFmtId="0" fontId="2" fillId="24" borderId="0" xfId="51" applyFont="1" applyFill="1" applyAlignment="1"/>
    <xf numFmtId="0" fontId="160" fillId="24" borderId="0" xfId="45" applyFont="1" applyFill="1"/>
    <xf numFmtId="0" fontId="92" fillId="24" borderId="168" xfId="51" applyFont="1" applyFill="1" applyBorder="1" applyAlignment="1"/>
    <xf numFmtId="0" fontId="2" fillId="24" borderId="19" xfId="51" applyFont="1" applyFill="1" applyBorder="1" applyAlignment="1"/>
    <xf numFmtId="0" fontId="2" fillId="24" borderId="81" xfId="51" applyFont="1" applyFill="1" applyBorder="1" applyAlignment="1"/>
    <xf numFmtId="0" fontId="92" fillId="24" borderId="19" xfId="51" applyFont="1" applyFill="1" applyBorder="1" applyAlignment="1"/>
    <xf numFmtId="0" fontId="92" fillId="24" borderId="81" xfId="51" applyFont="1" applyFill="1" applyBorder="1" applyAlignment="1"/>
    <xf numFmtId="0" fontId="92" fillId="24" borderId="169" xfId="51" applyFont="1" applyFill="1" applyBorder="1" applyAlignment="1"/>
    <xf numFmtId="0" fontId="92" fillId="24" borderId="170" xfId="51" applyFont="1" applyFill="1" applyBorder="1" applyAlignment="1"/>
    <xf numFmtId="201" fontId="132" fillId="50" borderId="41" xfId="51" applyNumberFormat="1" applyFont="1" applyFill="1" applyBorder="1" applyAlignment="1"/>
    <xf numFmtId="200" fontId="132" fillId="50" borderId="97" xfId="0" applyNumberFormat="1" applyFont="1" applyFill="1" applyBorder="1" applyAlignment="1">
      <alignment horizontal="center"/>
    </xf>
    <xf numFmtId="200" fontId="132" fillId="50" borderId="98" xfId="0" applyNumberFormat="1" applyFont="1" applyFill="1" applyBorder="1" applyAlignment="1">
      <alignment horizontal="center"/>
    </xf>
    <xf numFmtId="1" fontId="132" fillId="50" borderId="97" xfId="51" applyNumberFormat="1" applyFont="1" applyFill="1" applyBorder="1" applyAlignment="1"/>
    <xf numFmtId="166" fontId="36" fillId="0" borderId="0" xfId="99" applyFont="1"/>
    <xf numFmtId="10" fontId="33" fillId="0" borderId="11" xfId="55" applyNumberFormat="1" applyFont="1" applyBorder="1"/>
    <xf numFmtId="166" fontId="0" fillId="0" borderId="0" xfId="0" applyNumberFormat="1"/>
    <xf numFmtId="166" fontId="36" fillId="0" borderId="0" xfId="0" applyNumberFormat="1" applyFont="1" applyBorder="1"/>
    <xf numFmtId="166" fontId="36" fillId="0" borderId="171" xfId="0" applyNumberFormat="1" applyFont="1" applyBorder="1"/>
    <xf numFmtId="166" fontId="36" fillId="41" borderId="0" xfId="99" applyFont="1" applyFill="1"/>
    <xf numFmtId="166" fontId="36" fillId="41" borderId="18" xfId="99" applyFont="1" applyFill="1" applyBorder="1"/>
    <xf numFmtId="10" fontId="33" fillId="41" borderId="0" xfId="55" applyNumberFormat="1" applyFont="1" applyFill="1"/>
    <xf numFmtId="10" fontId="33" fillId="41" borderId="20" xfId="55" applyNumberFormat="1" applyFont="1" applyFill="1" applyBorder="1"/>
    <xf numFmtId="166" fontId="36" fillId="41" borderId="20" xfId="99" applyFont="1" applyFill="1" applyBorder="1"/>
    <xf numFmtId="10" fontId="33" fillId="41" borderId="11" xfId="55" applyNumberFormat="1" applyFont="1" applyFill="1" applyBorder="1"/>
    <xf numFmtId="10" fontId="33" fillId="41" borderId="70" xfId="55" applyNumberFormat="1" applyFont="1" applyFill="1" applyBorder="1"/>
    <xf numFmtId="0" fontId="0" fillId="41" borderId="0" xfId="0" applyFill="1"/>
    <xf numFmtId="10" fontId="0" fillId="0" borderId="0" xfId="0" applyNumberFormat="1"/>
    <xf numFmtId="10" fontId="0" fillId="41" borderId="0" xfId="55" applyNumberFormat="1" applyFont="1" applyFill="1"/>
    <xf numFmtId="166" fontId="0" fillId="0" borderId="0" xfId="99" applyFont="1"/>
    <xf numFmtId="166" fontId="36" fillId="0" borderId="0" xfId="0" applyNumberFormat="1" applyFont="1"/>
    <xf numFmtId="166" fontId="36" fillId="0" borderId="11" xfId="0" applyNumberFormat="1" applyFont="1" applyBorder="1"/>
    <xf numFmtId="166" fontId="0" fillId="0" borderId="174" xfId="0" applyNumberFormat="1" applyBorder="1"/>
    <xf numFmtId="166" fontId="36" fillId="0" borderId="173" xfId="0" applyNumberFormat="1" applyFont="1" applyBorder="1"/>
    <xf numFmtId="166" fontId="36" fillId="0" borderId="174" xfId="0" applyNumberFormat="1" applyFont="1" applyBorder="1"/>
    <xf numFmtId="166" fontId="36" fillId="0" borderId="175" xfId="99" applyFont="1" applyBorder="1"/>
    <xf numFmtId="166" fontId="36" fillId="41" borderId="175" xfId="99" applyFont="1" applyFill="1" applyBorder="1"/>
    <xf numFmtId="166" fontId="36" fillId="41" borderId="176" xfId="99" applyFont="1" applyFill="1" applyBorder="1"/>
    <xf numFmtId="201" fontId="92" fillId="0" borderId="0" xfId="51" applyNumberFormat="1" applyFont="1" applyFill="1" applyAlignment="1"/>
    <xf numFmtId="0" fontId="92" fillId="24" borderId="174" xfId="51" applyFont="1" applyFill="1" applyBorder="1" applyAlignment="1"/>
    <xf numFmtId="0" fontId="92" fillId="24" borderId="173" xfId="51" applyFont="1" applyFill="1" applyBorder="1" applyAlignment="1"/>
    <xf numFmtId="166" fontId="36" fillId="0" borderId="174" xfId="99" applyFont="1" applyBorder="1"/>
    <xf numFmtId="166" fontId="36" fillId="0" borderId="177" xfId="0" applyNumberFormat="1" applyFont="1" applyBorder="1"/>
    <xf numFmtId="166" fontId="0" fillId="0" borderId="177" xfId="0" applyNumberFormat="1" applyBorder="1"/>
    <xf numFmtId="4" fontId="63" fillId="0" borderId="0" xfId="0" applyNumberFormat="1" applyFont="1"/>
    <xf numFmtId="166" fontId="0" fillId="0" borderId="20" xfId="99" applyFont="1" applyBorder="1"/>
    <xf numFmtId="166" fontId="36" fillId="0" borderId="171" xfId="99" applyFont="1" applyBorder="1"/>
    <xf numFmtId="0" fontId="2" fillId="24" borderId="174" xfId="51" applyFont="1" applyFill="1" applyBorder="1" applyAlignment="1"/>
    <xf numFmtId="0" fontId="2" fillId="24" borderId="11" xfId="51" applyFont="1" applyFill="1" applyBorder="1" applyAlignment="1"/>
    <xf numFmtId="166" fontId="0" fillId="0" borderId="174" xfId="99" applyFont="1" applyBorder="1"/>
    <xf numFmtId="166" fontId="0" fillId="0" borderId="179" xfId="99" applyFont="1" applyBorder="1"/>
    <xf numFmtId="166" fontId="0" fillId="0" borderId="11" xfId="0" applyNumberFormat="1" applyBorder="1"/>
    <xf numFmtId="166" fontId="0" fillId="0" borderId="11" xfId="99" applyFont="1" applyBorder="1"/>
    <xf numFmtId="166" fontId="0" fillId="0" borderId="30" xfId="99" applyFont="1" applyBorder="1"/>
    <xf numFmtId="0" fontId="2" fillId="24" borderId="0" xfId="51" applyFont="1" applyFill="1" applyBorder="1" applyAlignment="1"/>
    <xf numFmtId="166" fontId="0" fillId="0" borderId="0" xfId="0" applyNumberFormat="1" applyBorder="1"/>
    <xf numFmtId="166" fontId="0" fillId="0" borderId="0" xfId="99" applyFont="1" applyBorder="1"/>
    <xf numFmtId="201" fontId="92" fillId="51" borderId="0" xfId="51" applyNumberFormat="1" applyFont="1" applyFill="1" applyAlignment="1"/>
    <xf numFmtId="37" fontId="2" fillId="45" borderId="0" xfId="96" applyNumberFormat="1" applyFont="1" applyFill="1" applyBorder="1" applyAlignment="1" applyProtection="1">
      <alignment horizontal="left"/>
    </xf>
    <xf numFmtId="201" fontId="2" fillId="0" borderId="0" xfId="51" applyNumberFormat="1" applyFont="1" applyFill="1" applyAlignment="1"/>
    <xf numFmtId="0" fontId="92" fillId="24" borderId="180" xfId="51" applyFont="1" applyFill="1" applyBorder="1" applyAlignment="1"/>
    <xf numFmtId="0" fontId="36" fillId="0" borderId="174" xfId="0" applyFont="1" applyBorder="1"/>
    <xf numFmtId="199" fontId="0" fillId="0" borderId="0" xfId="0" applyNumberFormat="1"/>
    <xf numFmtId="4" fontId="161" fillId="0" borderId="20" xfId="55" applyNumberFormat="1" applyFont="1" applyBorder="1"/>
    <xf numFmtId="10" fontId="0" fillId="0" borderId="20" xfId="0" applyNumberFormat="1" applyBorder="1"/>
    <xf numFmtId="166" fontId="0" fillId="0" borderId="20" xfId="0" applyNumberFormat="1" applyBorder="1"/>
    <xf numFmtId="166" fontId="36" fillId="0" borderId="20" xfId="0" applyNumberFormat="1" applyFont="1" applyBorder="1"/>
    <xf numFmtId="199" fontId="0" fillId="0" borderId="20" xfId="0" applyNumberFormat="1" applyBorder="1"/>
    <xf numFmtId="10" fontId="161" fillId="0" borderId="20" xfId="55" applyNumberFormat="1" applyFont="1" applyBorder="1"/>
    <xf numFmtId="1" fontId="0" fillId="0" borderId="20" xfId="0" applyNumberFormat="1" applyBorder="1"/>
    <xf numFmtId="0" fontId="76" fillId="0" borderId="12" xfId="0" applyFont="1" applyBorder="1"/>
    <xf numFmtId="166" fontId="0" fillId="0" borderId="12" xfId="99" applyFont="1" applyBorder="1"/>
    <xf numFmtId="166" fontId="0" fillId="0" borderId="12" xfId="0" applyNumberFormat="1" applyBorder="1"/>
    <xf numFmtId="166" fontId="0" fillId="0" borderId="96" xfId="0" applyNumberFormat="1" applyBorder="1"/>
    <xf numFmtId="166" fontId="36" fillId="41" borderId="0" xfId="0" applyNumberFormat="1" applyFont="1" applyFill="1"/>
    <xf numFmtId="10" fontId="0" fillId="41" borderId="0" xfId="0" applyNumberFormat="1" applyFill="1"/>
    <xf numFmtId="10" fontId="0" fillId="41" borderId="20" xfId="0" applyNumberFormat="1" applyFill="1" applyBorder="1"/>
    <xf numFmtId="166" fontId="36" fillId="41" borderId="11" xfId="0" applyNumberFormat="1" applyFont="1" applyFill="1" applyBorder="1"/>
    <xf numFmtId="166" fontId="36" fillId="41" borderId="11" xfId="99" applyFont="1" applyFill="1" applyBorder="1"/>
    <xf numFmtId="166" fontId="36" fillId="41" borderId="70" xfId="99" applyFont="1" applyFill="1" applyBorder="1"/>
    <xf numFmtId="9" fontId="0" fillId="41" borderId="0" xfId="55" applyFont="1" applyFill="1"/>
    <xf numFmtId="9" fontId="0" fillId="41" borderId="20" xfId="55" applyFont="1" applyFill="1" applyBorder="1"/>
    <xf numFmtId="199" fontId="0" fillId="41" borderId="0" xfId="0" applyNumberFormat="1" applyFill="1"/>
    <xf numFmtId="199" fontId="0" fillId="41" borderId="20" xfId="0" applyNumberFormat="1" applyFill="1" applyBorder="1"/>
    <xf numFmtId="166" fontId="0" fillId="41" borderId="0" xfId="99" applyFont="1" applyFill="1"/>
    <xf numFmtId="166" fontId="0" fillId="41" borderId="20" xfId="99" applyFont="1" applyFill="1" applyBorder="1"/>
    <xf numFmtId="166" fontId="36" fillId="41" borderId="174" xfId="0" applyNumberFormat="1" applyFont="1" applyFill="1" applyBorder="1"/>
    <xf numFmtId="166" fontId="36" fillId="41" borderId="174" xfId="99" applyFont="1" applyFill="1" applyBorder="1"/>
    <xf numFmtId="166" fontId="36" fillId="41" borderId="171" xfId="99" applyFont="1" applyFill="1" applyBorder="1"/>
    <xf numFmtId="9" fontId="0" fillId="0" borderId="0" xfId="0" applyNumberFormat="1"/>
    <xf numFmtId="9" fontId="0" fillId="41" borderId="0" xfId="0" applyNumberFormat="1" applyFill="1"/>
    <xf numFmtId="166" fontId="36" fillId="41" borderId="173" xfId="0" applyNumberFormat="1" applyFont="1" applyFill="1" applyBorder="1"/>
    <xf numFmtId="166" fontId="36" fillId="41" borderId="173" xfId="99" applyFont="1" applyFill="1" applyBorder="1"/>
    <xf numFmtId="166" fontId="36" fillId="41" borderId="172" xfId="99" applyFont="1" applyFill="1" applyBorder="1"/>
    <xf numFmtId="166" fontId="0" fillId="36" borderId="0" xfId="99" applyFont="1" applyFill="1"/>
    <xf numFmtId="166" fontId="0" fillId="36" borderId="20" xfId="99" applyFont="1" applyFill="1" applyBorder="1"/>
    <xf numFmtId="166" fontId="36" fillId="36" borderId="174" xfId="99" applyFont="1" applyFill="1" applyBorder="1"/>
    <xf numFmtId="166" fontId="36" fillId="36" borderId="171" xfId="99" applyFont="1" applyFill="1" applyBorder="1"/>
    <xf numFmtId="0" fontId="0" fillId="36" borderId="0" xfId="0" applyFill="1"/>
    <xf numFmtId="0" fontId="0" fillId="36" borderId="20" xfId="0" applyFill="1" applyBorder="1"/>
    <xf numFmtId="166" fontId="36" fillId="36" borderId="177" xfId="0" applyNumberFormat="1" applyFont="1" applyFill="1" applyBorder="1"/>
    <xf numFmtId="166" fontId="36" fillId="36" borderId="178" xfId="0" applyNumberFormat="1" applyFont="1" applyFill="1" applyBorder="1"/>
    <xf numFmtId="166" fontId="36" fillId="36" borderId="173" xfId="0" applyNumberFormat="1" applyFont="1" applyFill="1" applyBorder="1"/>
    <xf numFmtId="166" fontId="36" fillId="36" borderId="172" xfId="0" applyNumberFormat="1" applyFont="1" applyFill="1" applyBorder="1"/>
    <xf numFmtId="199" fontId="0" fillId="36" borderId="0" xfId="99" applyNumberFormat="1" applyFont="1" applyFill="1"/>
    <xf numFmtId="166" fontId="36" fillId="36" borderId="174" xfId="0" applyNumberFormat="1" applyFont="1" applyFill="1" applyBorder="1"/>
    <xf numFmtId="166" fontId="36" fillId="36" borderId="171" xfId="0" applyNumberFormat="1" applyFont="1" applyFill="1" applyBorder="1"/>
    <xf numFmtId="166" fontId="92" fillId="51" borderId="0" xfId="99" applyFont="1" applyFill="1" applyAlignment="1"/>
    <xf numFmtId="3" fontId="162" fillId="0" borderId="0" xfId="99" applyNumberFormat="1" applyFont="1" applyFill="1" applyAlignment="1">
      <alignment horizontal="center"/>
    </xf>
    <xf numFmtId="166" fontId="36" fillId="35" borderId="0" xfId="99" applyFont="1" applyFill="1"/>
    <xf numFmtId="166" fontId="0" fillId="36" borderId="0" xfId="0" applyNumberFormat="1" applyFill="1"/>
    <xf numFmtId="14" fontId="163" fillId="30" borderId="125" xfId="0" applyNumberFormat="1" applyFont="1" applyFill="1" applyBorder="1" applyAlignment="1">
      <alignment horizontal="center" vertical="center" wrapText="1"/>
    </xf>
    <xf numFmtId="0" fontId="163" fillId="30" borderId="125" xfId="0" applyFont="1" applyFill="1" applyBorder="1" applyAlignment="1">
      <alignment horizontal="center" vertical="center" wrapText="1"/>
    </xf>
    <xf numFmtId="14" fontId="112" fillId="37" borderId="125" xfId="0" applyNumberFormat="1" applyFont="1" applyFill="1" applyBorder="1" applyAlignment="1">
      <alignment vertical="center" wrapText="1"/>
    </xf>
    <xf numFmtId="0" fontId="112" fillId="37" borderId="125" xfId="0" applyFont="1" applyFill="1" applyBorder="1" applyAlignment="1">
      <alignment vertical="center" wrapText="1"/>
    </xf>
    <xf numFmtId="14" fontId="112" fillId="30" borderId="125" xfId="0" applyNumberFormat="1" applyFont="1" applyFill="1" applyBorder="1" applyAlignment="1">
      <alignment vertical="center" wrapText="1"/>
    </xf>
    <xf numFmtId="0" fontId="112" fillId="30" borderId="125" xfId="0" applyFont="1" applyFill="1" applyBorder="1" applyAlignment="1">
      <alignment vertical="center" wrapText="1"/>
    </xf>
    <xf numFmtId="0" fontId="164" fillId="0" borderId="72" xfId="0" applyFont="1" applyBorder="1" applyAlignment="1">
      <alignment horizontal="center"/>
    </xf>
    <xf numFmtId="10" fontId="36" fillId="28" borderId="0" xfId="55" applyNumberFormat="1" applyFont="1" applyFill="1"/>
    <xf numFmtId="0" fontId="164" fillId="0" borderId="0" xfId="0" applyFont="1" applyAlignment="1">
      <alignment horizontal="center"/>
    </xf>
    <xf numFmtId="0" fontId="84" fillId="47" borderId="181" xfId="0" applyFont="1" applyFill="1" applyBorder="1" applyAlignment="1">
      <alignment horizontal="left" indent="1"/>
    </xf>
    <xf numFmtId="10" fontId="88" fillId="0" borderId="182" xfId="0" applyNumberFormat="1" applyFont="1" applyFill="1" applyBorder="1"/>
    <xf numFmtId="10" fontId="88" fillId="28" borderId="182" xfId="0" applyNumberFormat="1" applyFont="1" applyFill="1" applyBorder="1"/>
    <xf numFmtId="9" fontId="0" fillId="0" borderId="18" xfId="0" applyNumberFormat="1" applyBorder="1"/>
    <xf numFmtId="3" fontId="0" fillId="0" borderId="20" xfId="0" applyNumberFormat="1" applyBorder="1"/>
    <xf numFmtId="173" fontId="0" fillId="0" borderId="20" xfId="0" applyNumberFormat="1" applyBorder="1"/>
    <xf numFmtId="4" fontId="36" fillId="28" borderId="96" xfId="0" applyNumberFormat="1" applyFont="1" applyFill="1" applyBorder="1"/>
    <xf numFmtId="203" fontId="165" fillId="52" borderId="17" xfId="51" applyNumberFormat="1" applyFont="1" applyFill="1" applyBorder="1" applyAlignment="1">
      <alignment horizontal="right"/>
    </xf>
    <xf numFmtId="0" fontId="0" fillId="53" borderId="0" xfId="0" applyFill="1" applyBorder="1"/>
    <xf numFmtId="2" fontId="166" fillId="24" borderId="19" xfId="51" applyNumberFormat="1" applyFont="1" applyFill="1" applyBorder="1" applyAlignment="1">
      <alignment vertical="center"/>
    </xf>
    <xf numFmtId="166" fontId="0" fillId="53" borderId="0" xfId="0" applyNumberFormat="1" applyFill="1" applyBorder="1"/>
    <xf numFmtId="166" fontId="0" fillId="53" borderId="20" xfId="0" applyNumberFormat="1" applyFill="1" applyBorder="1"/>
    <xf numFmtId="2" fontId="166" fillId="0" borderId="19" xfId="51" applyNumberFormat="1" applyFont="1" applyFill="1" applyBorder="1" applyAlignment="1">
      <alignment vertical="center"/>
    </xf>
    <xf numFmtId="166" fontId="0" fillId="53" borderId="0" xfId="99" applyFont="1" applyFill="1" applyBorder="1"/>
    <xf numFmtId="166" fontId="0" fillId="53" borderId="20" xfId="99" applyFont="1" applyFill="1" applyBorder="1"/>
    <xf numFmtId="2" fontId="166" fillId="24" borderId="81" xfId="51" applyNumberFormat="1" applyFont="1" applyFill="1" applyBorder="1" applyAlignment="1">
      <alignment vertical="center"/>
    </xf>
    <xf numFmtId="2" fontId="167" fillId="24" borderId="19" xfId="51" applyNumberFormat="1" applyFont="1" applyFill="1" applyBorder="1" applyAlignment="1">
      <alignment vertical="center"/>
    </xf>
    <xf numFmtId="166" fontId="36" fillId="0" borderId="183" xfId="0" applyNumberFormat="1" applyFont="1" applyBorder="1"/>
    <xf numFmtId="166" fontId="36" fillId="0" borderId="183" xfId="99" applyFont="1" applyBorder="1"/>
    <xf numFmtId="166" fontId="36" fillId="53" borderId="183" xfId="99" applyFont="1" applyFill="1" applyBorder="1"/>
    <xf numFmtId="166" fontId="36" fillId="53" borderId="184" xfId="99" applyFont="1" applyFill="1" applyBorder="1"/>
    <xf numFmtId="3" fontId="36" fillId="53" borderId="20" xfId="0" applyNumberFormat="1" applyFont="1" applyFill="1" applyBorder="1"/>
    <xf numFmtId="165" fontId="36" fillId="53" borderId="183" xfId="0" applyNumberFormat="1" applyFont="1" applyFill="1" applyBorder="1"/>
    <xf numFmtId="165" fontId="36" fillId="53" borderId="184" xfId="0" applyNumberFormat="1" applyFont="1" applyFill="1" applyBorder="1"/>
    <xf numFmtId="10" fontId="0" fillId="53" borderId="0" xfId="55" applyNumberFormat="1" applyFont="1" applyFill="1" applyBorder="1"/>
    <xf numFmtId="10" fontId="0" fillId="53" borderId="20" xfId="55" applyNumberFormat="1" applyFont="1" applyFill="1" applyBorder="1"/>
    <xf numFmtId="173" fontId="168" fillId="24" borderId="0" xfId="89" applyNumberFormat="1" applyFont="1" applyFill="1" applyBorder="1" applyAlignment="1" applyProtection="1">
      <alignment vertical="center"/>
    </xf>
    <xf numFmtId="166" fontId="165" fillId="52" borderId="12" xfId="99" applyFont="1" applyFill="1" applyBorder="1" applyAlignment="1">
      <alignment horizontal="right"/>
    </xf>
    <xf numFmtId="10" fontId="36" fillId="0" borderId="12" xfId="55" applyNumberFormat="1" applyFont="1" applyBorder="1"/>
    <xf numFmtId="9" fontId="36" fillId="0" borderId="12" xfId="0" applyNumberFormat="1" applyFont="1" applyBorder="1"/>
    <xf numFmtId="10" fontId="0" fillId="0" borderId="96" xfId="0" applyNumberFormat="1" applyBorder="1"/>
    <xf numFmtId="4" fontId="165" fillId="52" borderId="16" xfId="100" applyNumberFormat="1" applyFont="1" applyFill="1" applyBorder="1" applyAlignment="1">
      <alignment horizontal="center"/>
    </xf>
    <xf numFmtId="200" fontId="132" fillId="52" borderId="17" xfId="0" applyNumberFormat="1" applyFont="1" applyFill="1" applyBorder="1" applyAlignment="1">
      <alignment horizontal="center"/>
    </xf>
    <xf numFmtId="0" fontId="36" fillId="54" borderId="41" xfId="0" applyFont="1" applyFill="1" applyBorder="1" applyAlignment="1">
      <alignment horizontal="center"/>
    </xf>
    <xf numFmtId="0" fontId="36" fillId="54" borderId="97" xfId="0" applyFont="1" applyFill="1" applyBorder="1" applyAlignment="1">
      <alignment horizontal="center"/>
    </xf>
    <xf numFmtId="0" fontId="36" fillId="54" borderId="98" xfId="0" applyFont="1" applyFill="1" applyBorder="1" applyAlignment="1">
      <alignment horizontal="center"/>
    </xf>
    <xf numFmtId="10" fontId="0" fillId="0" borderId="19" xfId="0" applyNumberFormat="1" applyBorder="1"/>
    <xf numFmtId="10" fontId="0" fillId="0" borderId="0" xfId="0" applyNumberFormat="1" applyBorder="1"/>
    <xf numFmtId="10" fontId="0" fillId="0" borderId="20" xfId="55" applyNumberFormat="1" applyFont="1" applyBorder="1"/>
    <xf numFmtId="10" fontId="0" fillId="0" borderId="95" xfId="0" applyNumberFormat="1" applyBorder="1"/>
    <xf numFmtId="10" fontId="0" fillId="0" borderId="12" xfId="55" applyNumberFormat="1" applyFont="1" applyBorder="1"/>
    <xf numFmtId="10" fontId="0" fillId="0" borderId="96" xfId="55" applyNumberFormat="1" applyFont="1" applyBorder="1"/>
    <xf numFmtId="202" fontId="0" fillId="0" borderId="0" xfId="0" applyNumberFormat="1" applyBorder="1"/>
    <xf numFmtId="10" fontId="0" fillId="0" borderId="12" xfId="0" applyNumberFormat="1" applyBorder="1"/>
    <xf numFmtId="204" fontId="0" fillId="0" borderId="0" xfId="0" applyNumberFormat="1" applyBorder="1"/>
    <xf numFmtId="204" fontId="0" fillId="0" borderId="12" xfId="0" applyNumberFormat="1" applyBorder="1"/>
    <xf numFmtId="178" fontId="42" fillId="0" borderId="53" xfId="0" applyNumberFormat="1" applyFont="1" applyBorder="1" applyAlignment="1">
      <alignment horizontal="left"/>
    </xf>
    <xf numFmtId="4" fontId="0" fillId="0" borderId="0" xfId="0" applyNumberFormat="1"/>
    <xf numFmtId="0" fontId="169" fillId="0" borderId="83" xfId="0" applyFont="1" applyBorder="1" applyAlignment="1">
      <alignment horizontal="center"/>
    </xf>
    <xf numFmtId="0" fontId="0" fillId="0" borderId="83" xfId="0" applyBorder="1" applyAlignment="1">
      <alignment horizontal="left"/>
    </xf>
    <xf numFmtId="0" fontId="0" fillId="0" borderId="83" xfId="0" applyFill="1" applyBorder="1" applyAlignment="1">
      <alignment horizontal="left"/>
    </xf>
    <xf numFmtId="0" fontId="0" fillId="0" borderId="91" xfId="0" applyFill="1" applyBorder="1" applyAlignment="1">
      <alignment horizontal="left"/>
    </xf>
    <xf numFmtId="165" fontId="0" fillId="49" borderId="13" xfId="0" applyNumberFormat="1" applyFill="1" applyBorder="1" applyAlignment="1">
      <alignment horizontal="center"/>
    </xf>
    <xf numFmtId="0" fontId="0" fillId="0" borderId="83" xfId="0" applyFill="1" applyBorder="1" applyAlignment="1">
      <alignment horizontal="center"/>
    </xf>
    <xf numFmtId="0" fontId="170" fillId="55" borderId="31" xfId="44" applyFont="1" applyFill="1" applyBorder="1" applyAlignment="1" applyProtection="1">
      <alignment horizontal="center"/>
    </xf>
    <xf numFmtId="165" fontId="0" fillId="0" borderId="31" xfId="0" applyNumberFormat="1" applyBorder="1" applyAlignment="1">
      <alignment horizontal="center"/>
    </xf>
    <xf numFmtId="10" fontId="0" fillId="0" borderId="31" xfId="55" applyNumberFormat="1" applyFont="1" applyBorder="1" applyAlignment="1">
      <alignment horizontal="center"/>
    </xf>
    <xf numFmtId="4" fontId="0" fillId="0" borderId="13" xfId="0" applyNumberFormat="1" applyBorder="1" applyAlignment="1">
      <alignment horizontal="center"/>
    </xf>
    <xf numFmtId="0" fontId="170" fillId="55" borderId="13" xfId="44" applyFont="1" applyFill="1" applyBorder="1" applyAlignment="1" applyProtection="1">
      <alignment horizontal="center"/>
    </xf>
    <xf numFmtId="165" fontId="0" fillId="0" borderId="13" xfId="0" applyNumberFormat="1" applyBorder="1" applyAlignment="1">
      <alignment horizontal="center"/>
    </xf>
    <xf numFmtId="165" fontId="0" fillId="0" borderId="25" xfId="0" applyNumberFormat="1" applyBorder="1" applyAlignment="1">
      <alignment horizontal="center"/>
    </xf>
    <xf numFmtId="0" fontId="170" fillId="55" borderId="83" xfId="44" applyFont="1" applyFill="1" applyBorder="1" applyAlignment="1" applyProtection="1">
      <alignment horizontal="center"/>
    </xf>
    <xf numFmtId="165" fontId="0" fillId="0" borderId="83" xfId="0" applyNumberFormat="1" applyBorder="1" applyAlignment="1">
      <alignment horizontal="center"/>
    </xf>
    <xf numFmtId="10" fontId="0" fillId="0" borderId="83" xfId="55" applyNumberFormat="1" applyFont="1" applyBorder="1" applyAlignment="1">
      <alignment horizontal="center"/>
    </xf>
    <xf numFmtId="165" fontId="0" fillId="0" borderId="91" xfId="0" applyNumberFormat="1" applyBorder="1" applyAlignment="1">
      <alignment horizontal="center"/>
    </xf>
    <xf numFmtId="0" fontId="170" fillId="55" borderId="25" xfId="44" applyFont="1" applyFill="1" applyBorder="1" applyAlignment="1" applyProtection="1">
      <alignment horizontal="center"/>
    </xf>
    <xf numFmtId="165" fontId="0" fillId="0" borderId="26" xfId="0" applyNumberFormat="1" applyBorder="1" applyAlignment="1">
      <alignment horizontal="center"/>
    </xf>
    <xf numFmtId="10" fontId="0" fillId="0" borderId="26" xfId="0" applyNumberFormat="1" applyBorder="1" applyAlignment="1">
      <alignment horizontal="center"/>
    </xf>
    <xf numFmtId="165" fontId="0" fillId="0" borderId="27" xfId="0" applyNumberFormat="1" applyBorder="1" applyAlignment="1">
      <alignment horizontal="center"/>
    </xf>
    <xf numFmtId="0" fontId="169" fillId="0" borderId="83" xfId="0" applyFont="1" applyFill="1" applyBorder="1" applyAlignment="1">
      <alignment horizontal="center"/>
    </xf>
    <xf numFmtId="0" fontId="64" fillId="53" borderId="21" xfId="44" applyFont="1" applyFill="1" applyBorder="1" applyAlignment="1" applyProtection="1">
      <alignment horizontal="center"/>
    </xf>
    <xf numFmtId="4" fontId="0" fillId="49" borderId="15" xfId="0" applyNumberFormat="1" applyFill="1" applyBorder="1" applyAlignment="1">
      <alignment horizontal="center"/>
    </xf>
    <xf numFmtId="4" fontId="0" fillId="0" borderId="31" xfId="0" applyNumberFormat="1" applyBorder="1" applyAlignment="1">
      <alignment horizontal="center"/>
    </xf>
    <xf numFmtId="3" fontId="0" fillId="0" borderId="31" xfId="0" applyNumberFormat="1" applyBorder="1" applyAlignment="1">
      <alignment horizontal="center"/>
    </xf>
    <xf numFmtId="0" fontId="36" fillId="31" borderId="13" xfId="0" applyFont="1" applyFill="1" applyBorder="1" applyAlignment="1">
      <alignment horizontal="center"/>
    </xf>
    <xf numFmtId="0" fontId="36" fillId="31" borderId="14" xfId="0" applyFont="1" applyFill="1" applyBorder="1" applyAlignment="1">
      <alignment horizontal="center"/>
    </xf>
    <xf numFmtId="0" fontId="0" fillId="24" borderId="93" xfId="0" applyFill="1" applyBorder="1"/>
    <xf numFmtId="0" fontId="36" fillId="24" borderId="30" xfId="0" applyFont="1" applyFill="1" applyBorder="1"/>
    <xf numFmtId="0" fontId="0" fillId="24" borderId="25" xfId="0" applyFill="1" applyBorder="1"/>
    <xf numFmtId="0" fontId="0" fillId="24" borderId="27" xfId="0" applyFill="1" applyBorder="1"/>
    <xf numFmtId="0" fontId="0" fillId="24" borderId="26" xfId="0" applyFill="1" applyBorder="1"/>
    <xf numFmtId="0" fontId="36" fillId="24" borderId="27" xfId="0" applyFont="1" applyFill="1" applyBorder="1"/>
    <xf numFmtId="0" fontId="0" fillId="24" borderId="91" xfId="0" applyFill="1" applyBorder="1"/>
    <xf numFmtId="0" fontId="0" fillId="24" borderId="92" xfId="0" applyFill="1" applyBorder="1"/>
    <xf numFmtId="0" fontId="0" fillId="24" borderId="120" xfId="0" applyFill="1" applyBorder="1"/>
    <xf numFmtId="10" fontId="33" fillId="24" borderId="93" xfId="55" applyNumberFormat="1" applyFont="1" applyFill="1" applyBorder="1"/>
    <xf numFmtId="10" fontId="61" fillId="24" borderId="0" xfId="55" applyNumberFormat="1" applyFont="1" applyFill="1" applyBorder="1"/>
    <xf numFmtId="10" fontId="61" fillId="24" borderId="93" xfId="55" applyNumberFormat="1" applyFont="1" applyFill="1" applyBorder="1"/>
    <xf numFmtId="0" fontId="36" fillId="24" borderId="92" xfId="0" applyFont="1" applyFill="1" applyBorder="1"/>
    <xf numFmtId="0" fontId="36" fillId="31" borderId="177" xfId="0" applyFont="1" applyFill="1" applyBorder="1" applyAlignment="1">
      <alignment horizontal="center"/>
    </xf>
    <xf numFmtId="0" fontId="36" fillId="24" borderId="83" xfId="0" applyFont="1" applyFill="1" applyBorder="1"/>
    <xf numFmtId="10" fontId="61" fillId="24" borderId="185" xfId="55" applyNumberFormat="1" applyFont="1" applyFill="1" applyBorder="1"/>
    <xf numFmtId="10" fontId="61" fillId="24" borderId="186" xfId="55" applyNumberFormat="1" applyFont="1" applyFill="1" applyBorder="1"/>
    <xf numFmtId="0" fontId="36" fillId="31" borderId="83" xfId="0" applyFont="1" applyFill="1" applyBorder="1" applyAlignment="1">
      <alignment horizontal="center"/>
    </xf>
    <xf numFmtId="0" fontId="36" fillId="24" borderId="0" xfId="0" applyNumberFormat="1" applyFont="1" applyFill="1" applyBorder="1" applyAlignment="1">
      <alignment horizontal="center"/>
    </xf>
    <xf numFmtId="0" fontId="36" fillId="24" borderId="91" xfId="0" applyNumberFormat="1" applyFont="1" applyFill="1" applyBorder="1" applyAlignment="1">
      <alignment horizontal="center"/>
    </xf>
    <xf numFmtId="0" fontId="36" fillId="24" borderId="183" xfId="0" applyNumberFormat="1" applyFont="1" applyFill="1" applyBorder="1" applyAlignment="1">
      <alignment horizontal="center"/>
    </xf>
    <xf numFmtId="0" fontId="36" fillId="24" borderId="179" xfId="0" applyNumberFormat="1" applyFont="1" applyFill="1" applyBorder="1" applyAlignment="1">
      <alignment horizontal="center"/>
    </xf>
    <xf numFmtId="0" fontId="36" fillId="31" borderId="183" xfId="0" applyFont="1" applyFill="1" applyBorder="1" applyAlignment="1">
      <alignment horizontal="center"/>
    </xf>
    <xf numFmtId="3" fontId="36" fillId="24" borderId="0" xfId="37" applyNumberFormat="1" applyFont="1" applyFill="1" applyBorder="1" applyAlignment="1">
      <alignment horizontal="right" vertical="center"/>
    </xf>
    <xf numFmtId="3" fontId="36" fillId="24" borderId="93" xfId="37" applyNumberFormat="1" applyFont="1" applyFill="1" applyBorder="1" applyAlignment="1">
      <alignment horizontal="right" vertical="center"/>
    </xf>
    <xf numFmtId="3" fontId="33" fillId="24" borderId="183" xfId="37" applyNumberFormat="1" applyFont="1" applyFill="1" applyBorder="1" applyAlignment="1">
      <alignment horizontal="right" vertical="center"/>
    </xf>
    <xf numFmtId="3" fontId="33" fillId="24" borderId="179" xfId="37" applyNumberFormat="1" applyFont="1" applyFill="1" applyBorder="1" applyAlignment="1">
      <alignment horizontal="right" vertical="center"/>
    </xf>
    <xf numFmtId="0" fontId="36" fillId="31" borderId="31" xfId="0" applyFont="1" applyFill="1" applyBorder="1" applyAlignment="1">
      <alignment horizontal="center"/>
    </xf>
    <xf numFmtId="0" fontId="36" fillId="31" borderId="25" xfId="0" applyFont="1" applyFill="1" applyBorder="1" applyAlignment="1">
      <alignment horizontal="center"/>
    </xf>
    <xf numFmtId="3" fontId="36" fillId="24" borderId="177" xfId="37" applyNumberFormat="1" applyFont="1" applyFill="1" applyBorder="1" applyAlignment="1">
      <alignment horizontal="right" vertical="center"/>
    </xf>
    <xf numFmtId="3" fontId="36" fillId="24" borderId="31" xfId="37" applyNumberFormat="1" applyFont="1" applyFill="1" applyBorder="1" applyAlignment="1">
      <alignment horizontal="right" vertical="center"/>
    </xf>
    <xf numFmtId="3" fontId="36" fillId="24" borderId="13" xfId="0" applyNumberFormat="1" applyFont="1" applyFill="1" applyBorder="1" applyAlignment="1">
      <alignment horizontal="right"/>
    </xf>
    <xf numFmtId="3" fontId="36" fillId="24" borderId="83" xfId="0" applyNumberFormat="1" applyFont="1" applyFill="1" applyBorder="1" applyAlignment="1">
      <alignment horizontal="right"/>
    </xf>
    <xf numFmtId="10" fontId="33" fillId="24" borderId="0" xfId="55" applyNumberFormat="1" applyFont="1" applyFill="1" applyBorder="1" applyAlignment="1">
      <alignment horizontal="right" vertical="center"/>
    </xf>
    <xf numFmtId="10" fontId="33" fillId="24" borderId="179" xfId="55" applyNumberFormat="1" applyFont="1" applyFill="1" applyBorder="1" applyAlignment="1">
      <alignment horizontal="right" vertical="center"/>
    </xf>
    <xf numFmtId="9" fontId="36" fillId="28" borderId="20" xfId="55" applyFont="1" applyFill="1" applyBorder="1" applyAlignment="1"/>
    <xf numFmtId="10" fontId="36" fillId="28" borderId="20" xfId="55" applyNumberFormat="1" applyFont="1" applyFill="1" applyBorder="1" applyAlignment="1"/>
    <xf numFmtId="188" fontId="0" fillId="0" borderId="0" xfId="0" applyNumberFormat="1" applyFill="1" applyBorder="1" applyAlignment="1"/>
    <xf numFmtId="188" fontId="0" fillId="0" borderId="12" xfId="0" applyNumberFormat="1" applyFill="1" applyBorder="1" applyAlignment="1"/>
    <xf numFmtId="166" fontId="36" fillId="41" borderId="183" xfId="0" applyNumberFormat="1" applyFont="1" applyFill="1" applyBorder="1"/>
    <xf numFmtId="166" fontId="36" fillId="41" borderId="184" xfId="0" applyNumberFormat="1" applyFont="1" applyFill="1" applyBorder="1"/>
    <xf numFmtId="10" fontId="36" fillId="28" borderId="13" xfId="56" applyNumberFormat="1" applyFont="1" applyFill="1" applyBorder="1"/>
    <xf numFmtId="166" fontId="36" fillId="53" borderId="0" xfId="0" applyNumberFormat="1" applyFont="1" applyFill="1" applyBorder="1"/>
    <xf numFmtId="166" fontId="36" fillId="53" borderId="20" xfId="0" applyNumberFormat="1" applyFont="1" applyFill="1" applyBorder="1"/>
    <xf numFmtId="166" fontId="0" fillId="0" borderId="18" xfId="0" applyNumberFormat="1" applyBorder="1"/>
    <xf numFmtId="166" fontId="165" fillId="52" borderId="95" xfId="99" applyFont="1" applyFill="1" applyBorder="1" applyAlignment="1">
      <alignment horizontal="left"/>
    </xf>
    <xf numFmtId="166" fontId="165" fillId="52" borderId="96" xfId="99" applyFont="1" applyFill="1" applyBorder="1" applyAlignment="1">
      <alignment horizontal="right"/>
    </xf>
    <xf numFmtId="0" fontId="171" fillId="56" borderId="125" xfId="0" applyFont="1" applyFill="1" applyBorder="1" applyAlignment="1">
      <alignment horizontal="center" vertical="center" wrapText="1"/>
    </xf>
    <xf numFmtId="3" fontId="112" fillId="30" borderId="125" xfId="0" applyNumberFormat="1" applyFont="1" applyFill="1" applyBorder="1" applyAlignment="1">
      <alignment vertical="center" wrapText="1"/>
    </xf>
    <xf numFmtId="3" fontId="112" fillId="37" borderId="125" xfId="0" applyNumberFormat="1" applyFont="1" applyFill="1" applyBorder="1" applyAlignment="1">
      <alignment vertical="center" wrapText="1"/>
    </xf>
    <xf numFmtId="205" fontId="0" fillId="0" borderId="0" xfId="0" applyNumberFormat="1"/>
    <xf numFmtId="10" fontId="36" fillId="0" borderId="0" xfId="55" applyNumberFormat="1" applyFont="1" applyFill="1"/>
    <xf numFmtId="14" fontId="112" fillId="37" borderId="187" xfId="0" applyNumberFormat="1" applyFont="1" applyFill="1" applyBorder="1" applyAlignment="1">
      <alignment vertical="center" wrapText="1"/>
    </xf>
    <xf numFmtId="0" fontId="112" fillId="37" borderId="187" xfId="0" applyFont="1" applyFill="1" applyBorder="1" applyAlignment="1">
      <alignment vertical="center" wrapText="1"/>
    </xf>
    <xf numFmtId="14" fontId="112" fillId="0" borderId="0" xfId="0" applyNumberFormat="1" applyFont="1" applyFill="1" applyBorder="1" applyAlignment="1">
      <alignment vertical="center" wrapText="1"/>
    </xf>
    <xf numFmtId="0" fontId="112" fillId="0" borderId="0" xfId="0" applyFont="1" applyFill="1" applyBorder="1" applyAlignment="1">
      <alignment vertical="center" wrapText="1"/>
    </xf>
    <xf numFmtId="4" fontId="0" fillId="0" borderId="0" xfId="55" applyNumberFormat="1" applyFont="1" applyFill="1" applyBorder="1"/>
    <xf numFmtId="0" fontId="120" fillId="0" borderId="0" xfId="0" applyFont="1" applyFill="1" applyBorder="1" applyAlignment="1">
      <alignment horizontal="center"/>
    </xf>
    <xf numFmtId="0" fontId="164" fillId="0" borderId="0" xfId="0" applyFont="1" applyBorder="1" applyAlignment="1">
      <alignment horizontal="center"/>
    </xf>
    <xf numFmtId="10" fontId="36" fillId="28" borderId="0" xfId="55" applyNumberFormat="1" applyFont="1" applyFill="1" applyBorder="1"/>
    <xf numFmtId="168" fontId="0" fillId="0" borderId="0" xfId="0" applyNumberFormat="1"/>
    <xf numFmtId="10" fontId="101" fillId="28" borderId="105" xfId="55" applyNumberFormat="1" applyFont="1" applyFill="1" applyBorder="1"/>
    <xf numFmtId="173" fontId="155" fillId="28" borderId="163" xfId="0" applyNumberFormat="1" applyFont="1" applyFill="1" applyBorder="1" applyAlignment="1">
      <alignment horizontal="center"/>
    </xf>
    <xf numFmtId="190" fontId="0" fillId="0" borderId="0" xfId="0" applyNumberFormat="1"/>
    <xf numFmtId="3" fontId="0" fillId="49" borderId="176" xfId="0" applyNumberFormat="1" applyFill="1" applyBorder="1" applyAlignment="1">
      <alignment horizontal="center"/>
    </xf>
    <xf numFmtId="0" fontId="169" fillId="0" borderId="13" xfId="0" applyFont="1" applyBorder="1" applyAlignment="1">
      <alignment horizontal="center"/>
    </xf>
    <xf numFmtId="0" fontId="172" fillId="57" borderId="42" xfId="0" applyFont="1" applyFill="1" applyBorder="1" applyAlignment="1">
      <alignment horizontal="center"/>
    </xf>
    <xf numFmtId="0" fontId="170" fillId="48" borderId="80" xfId="44" applyFont="1" applyFill="1" applyBorder="1" applyAlignment="1" applyProtection="1">
      <alignment horizontal="center"/>
    </xf>
    <xf numFmtId="4" fontId="0" fillId="57" borderId="98" xfId="0" applyNumberFormat="1" applyFill="1" applyBorder="1" applyAlignment="1">
      <alignment horizontal="center"/>
    </xf>
    <xf numFmtId="0" fontId="0" fillId="57" borderId="98" xfId="0" applyFill="1" applyBorder="1" applyAlignment="1">
      <alignment horizontal="center"/>
    </xf>
    <xf numFmtId="0" fontId="120" fillId="0" borderId="42" xfId="0" applyFont="1" applyBorder="1" applyAlignment="1">
      <alignment horizontal="center"/>
    </xf>
    <xf numFmtId="0" fontId="0" fillId="57" borderId="42" xfId="0" applyFill="1" applyBorder="1" applyAlignment="1">
      <alignment horizontal="center"/>
    </xf>
    <xf numFmtId="165" fontId="0" fillId="0" borderId="188" xfId="0" applyNumberFormat="1" applyBorder="1" applyAlignment="1">
      <alignment horizontal="center"/>
    </xf>
    <xf numFmtId="165" fontId="0" fillId="49" borderId="31" xfId="0" applyNumberFormat="1" applyFill="1" applyBorder="1" applyAlignment="1">
      <alignment horizontal="center"/>
    </xf>
    <xf numFmtId="165" fontId="120" fillId="53" borderId="15" xfId="0" applyNumberFormat="1" applyFont="1" applyFill="1" applyBorder="1" applyAlignment="1">
      <alignment horizontal="center"/>
    </xf>
    <xf numFmtId="10" fontId="120" fillId="53" borderId="15" xfId="0" applyNumberFormat="1" applyFont="1" applyFill="1" applyBorder="1" applyAlignment="1">
      <alignment horizontal="center"/>
    </xf>
    <xf numFmtId="165" fontId="120" fillId="53" borderId="69" xfId="0" applyNumberFormat="1" applyFont="1" applyFill="1" applyBorder="1" applyAlignment="1">
      <alignment horizontal="center"/>
    </xf>
    <xf numFmtId="165" fontId="120" fillId="53" borderId="15" xfId="98" applyNumberFormat="1" applyFont="1" applyFill="1" applyBorder="1" applyAlignment="1">
      <alignment horizontal="center"/>
    </xf>
    <xf numFmtId="3" fontId="0" fillId="53" borderId="15" xfId="0" applyNumberFormat="1" applyFill="1" applyBorder="1" applyAlignment="1">
      <alignment horizontal="center"/>
    </xf>
    <xf numFmtId="165" fontId="0" fillId="53" borderId="22" xfId="0" applyNumberFormat="1" applyFill="1" applyBorder="1" applyAlignment="1">
      <alignment horizontal="center"/>
    </xf>
    <xf numFmtId="0" fontId="120" fillId="0" borderId="83" xfId="0" applyFont="1" applyFill="1" applyBorder="1" applyAlignment="1">
      <alignment horizontal="center"/>
    </xf>
    <xf numFmtId="165" fontId="36" fillId="28" borderId="13" xfId="0" applyNumberFormat="1" applyFont="1" applyFill="1" applyBorder="1" applyAlignment="1">
      <alignment horizontal="center"/>
    </xf>
    <xf numFmtId="0" fontId="0" fillId="0" borderId="0" xfId="0" applyAlignment="1">
      <alignment horizontal="center"/>
    </xf>
    <xf numFmtId="188" fontId="0" fillId="0" borderId="0" xfId="0" applyNumberFormat="1"/>
    <xf numFmtId="0" fontId="102" fillId="0" borderId="13" xfId="94" applyFont="1" applyFill="1" applyBorder="1" applyAlignment="1">
      <alignment horizontal="center" vertical="center" wrapText="1"/>
    </xf>
    <xf numFmtId="0" fontId="173" fillId="48" borderId="35" xfId="0" applyFont="1" applyFill="1" applyBorder="1" applyAlignment="1">
      <alignment horizontal="center" vertical="center" wrapText="1"/>
    </xf>
    <xf numFmtId="0" fontId="173" fillId="48" borderId="23" xfId="0" applyFont="1" applyFill="1" applyBorder="1" applyAlignment="1">
      <alignment horizontal="center" vertical="center" wrapText="1"/>
    </xf>
    <xf numFmtId="0" fontId="173" fillId="48" borderId="24" xfId="0" applyFont="1" applyFill="1" applyBorder="1" applyAlignment="1">
      <alignment horizontal="center" vertical="center" wrapText="1"/>
    </xf>
    <xf numFmtId="0" fontId="173" fillId="58" borderId="40" xfId="0" applyFont="1" applyFill="1" applyBorder="1" applyAlignment="1">
      <alignment horizontal="center" vertical="center" wrapText="1"/>
    </xf>
    <xf numFmtId="9" fontId="43" fillId="0" borderId="33" xfId="0" applyNumberFormat="1" applyFont="1" applyBorder="1" applyAlignment="1">
      <alignment horizontal="center" vertical="center"/>
    </xf>
    <xf numFmtId="4" fontId="43" fillId="0" borderId="33" xfId="0" applyNumberFormat="1" applyFont="1" applyBorder="1" applyAlignment="1">
      <alignment horizontal="center" vertical="center"/>
    </xf>
    <xf numFmtId="10" fontId="43" fillId="0" borderId="34" xfId="0" applyNumberFormat="1" applyFont="1" applyBorder="1" applyAlignment="1">
      <alignment horizontal="center" vertical="center"/>
    </xf>
    <xf numFmtId="0" fontId="43" fillId="0" borderId="33" xfId="0" applyFont="1" applyBorder="1" applyAlignment="1">
      <alignment horizontal="center" vertical="center"/>
    </xf>
    <xf numFmtId="173" fontId="43" fillId="0" borderId="34" xfId="0" applyNumberFormat="1" applyFont="1" applyBorder="1" applyAlignment="1">
      <alignment horizontal="center" vertical="center"/>
    </xf>
    <xf numFmtId="0" fontId="62" fillId="24" borderId="0" xfId="0" applyFont="1" applyFill="1" applyAlignment="1">
      <alignment horizontal="center"/>
    </xf>
    <xf numFmtId="0" fontId="62" fillId="24" borderId="0" xfId="0" applyFont="1" applyFill="1" applyAlignment="1">
      <alignment horizontal="center" wrapText="1"/>
    </xf>
    <xf numFmtId="0" fontId="37" fillId="0" borderId="46" xfId="0" applyFont="1" applyBorder="1" applyAlignment="1">
      <alignment wrapText="1"/>
    </xf>
    <xf numFmtId="0" fontId="37" fillId="0" borderId="47" xfId="0" applyFont="1" applyBorder="1"/>
    <xf numFmtId="0" fontId="37" fillId="0" borderId="48" xfId="0" applyFont="1" applyBorder="1"/>
    <xf numFmtId="0" fontId="37" fillId="0" borderId="49" xfId="0" applyFont="1" applyBorder="1"/>
    <xf numFmtId="0" fontId="37" fillId="0" borderId="0" xfId="0" applyFont="1" applyBorder="1"/>
    <xf numFmtId="0" fontId="37" fillId="0" borderId="50" xfId="0" applyFont="1" applyBorder="1"/>
    <xf numFmtId="0" fontId="37" fillId="0" borderId="54" xfId="0" applyFont="1" applyBorder="1"/>
    <xf numFmtId="0" fontId="37" fillId="0" borderId="55" xfId="0" applyFont="1" applyBorder="1"/>
    <xf numFmtId="0" fontId="37" fillId="0" borderId="56" xfId="0" applyFont="1" applyBorder="1"/>
    <xf numFmtId="0" fontId="38" fillId="24" borderId="55" xfId="0" applyFont="1" applyFill="1" applyBorder="1" applyAlignment="1">
      <alignment horizontal="center"/>
    </xf>
    <xf numFmtId="0" fontId="25" fillId="24" borderId="46" xfId="0" applyFont="1" applyFill="1" applyBorder="1" applyAlignment="1">
      <alignment horizontal="justify" vertical="top" wrapText="1"/>
    </xf>
    <xf numFmtId="0" fontId="37" fillId="24" borderId="47" xfId="0" applyFont="1" applyFill="1" applyBorder="1" applyAlignment="1">
      <alignment horizontal="justify" vertical="top" wrapText="1"/>
    </xf>
    <xf numFmtId="0" fontId="37" fillId="24" borderId="48" xfId="0" applyFont="1" applyFill="1" applyBorder="1" applyAlignment="1">
      <alignment horizontal="justify" vertical="top" wrapText="1"/>
    </xf>
    <xf numFmtId="0" fontId="37" fillId="24" borderId="49" xfId="0" applyFont="1" applyFill="1" applyBorder="1" applyAlignment="1">
      <alignment horizontal="justify" vertical="top" wrapText="1"/>
    </xf>
    <xf numFmtId="0" fontId="37" fillId="24" borderId="0" xfId="0" applyFont="1" applyFill="1" applyBorder="1" applyAlignment="1">
      <alignment horizontal="justify" vertical="top" wrapText="1"/>
    </xf>
    <xf numFmtId="0" fontId="37" fillId="24" borderId="50" xfId="0" applyFont="1" applyFill="1" applyBorder="1" applyAlignment="1">
      <alignment horizontal="justify" vertical="top" wrapText="1"/>
    </xf>
    <xf numFmtId="0" fontId="37" fillId="24" borderId="54" xfId="0" applyFont="1" applyFill="1" applyBorder="1" applyAlignment="1">
      <alignment horizontal="justify" vertical="top" wrapText="1"/>
    </xf>
    <xf numFmtId="0" fontId="37" fillId="24" borderId="55" xfId="0" applyFont="1" applyFill="1" applyBorder="1" applyAlignment="1">
      <alignment horizontal="justify" vertical="top" wrapText="1"/>
    </xf>
    <xf numFmtId="0" fontId="37" fillId="24" borderId="56" xfId="0" applyFont="1" applyFill="1" applyBorder="1" applyAlignment="1">
      <alignment horizontal="justify" vertical="top" wrapText="1"/>
    </xf>
    <xf numFmtId="0" fontId="38" fillId="24" borderId="0" xfId="0" applyFont="1" applyFill="1" applyAlignment="1">
      <alignment horizontal="center"/>
    </xf>
    <xf numFmtId="9" fontId="37" fillId="24" borderId="46" xfId="55" applyFont="1" applyFill="1" applyBorder="1" applyAlignment="1">
      <alignment horizontal="justify" vertical="top" wrapText="1"/>
    </xf>
    <xf numFmtId="9" fontId="37" fillId="24" borderId="47" xfId="55" applyFont="1" applyFill="1" applyBorder="1" applyAlignment="1">
      <alignment horizontal="justify" vertical="top" wrapText="1"/>
    </xf>
    <xf numFmtId="9" fontId="37" fillId="24" borderId="48" xfId="55" applyFont="1" applyFill="1" applyBorder="1" applyAlignment="1">
      <alignment horizontal="justify" vertical="top" wrapText="1"/>
    </xf>
    <xf numFmtId="9" fontId="37" fillId="24" borderId="49" xfId="55" applyFont="1" applyFill="1" applyBorder="1" applyAlignment="1">
      <alignment horizontal="justify" vertical="top" wrapText="1"/>
    </xf>
    <xf numFmtId="9" fontId="37" fillId="24" borderId="0" xfId="55" applyFont="1" applyFill="1" applyBorder="1" applyAlignment="1">
      <alignment horizontal="justify" vertical="top" wrapText="1"/>
    </xf>
    <xf numFmtId="9" fontId="37" fillId="24" borderId="50" xfId="55" applyFont="1" applyFill="1" applyBorder="1" applyAlignment="1">
      <alignment horizontal="justify" vertical="top" wrapText="1"/>
    </xf>
    <xf numFmtId="9" fontId="37" fillId="24" borderId="54" xfId="55" applyFont="1" applyFill="1" applyBorder="1" applyAlignment="1">
      <alignment horizontal="justify" vertical="top" wrapText="1"/>
    </xf>
    <xf numFmtId="9" fontId="37" fillId="24" borderId="55" xfId="55" applyFont="1" applyFill="1" applyBorder="1" applyAlignment="1">
      <alignment horizontal="justify" vertical="top" wrapText="1"/>
    </xf>
    <xf numFmtId="9" fontId="37" fillId="24" borderId="56" xfId="55" applyFont="1" applyFill="1" applyBorder="1" applyAlignment="1">
      <alignment horizontal="justify" vertical="top" wrapText="1"/>
    </xf>
    <xf numFmtId="0" fontId="0" fillId="0" borderId="49" xfId="0" applyFill="1" applyBorder="1" applyAlignment="1">
      <alignment horizontal="justify" vertical="center" wrapText="1"/>
    </xf>
    <xf numFmtId="0" fontId="0" fillId="0" borderId="0" xfId="0" applyFill="1" applyBorder="1" applyAlignment="1">
      <alignment horizontal="justify" vertical="center" wrapText="1"/>
    </xf>
    <xf numFmtId="0" fontId="0" fillId="24" borderId="49" xfId="0" applyFill="1" applyBorder="1" applyAlignment="1">
      <alignment horizontal="justify" vertical="center" wrapText="1"/>
    </xf>
    <xf numFmtId="0" fontId="0" fillId="24" borderId="0" xfId="0" applyFill="1" applyBorder="1" applyAlignment="1">
      <alignment horizontal="justify" vertical="center" wrapText="1"/>
    </xf>
    <xf numFmtId="0" fontId="38" fillId="0" borderId="49" xfId="0" applyFont="1" applyBorder="1" applyAlignment="1">
      <alignment horizontal="center"/>
    </xf>
    <xf numFmtId="0" fontId="38" fillId="0" borderId="0" xfId="0" applyFont="1" applyBorder="1" applyAlignment="1">
      <alignment horizontal="center"/>
    </xf>
    <xf numFmtId="0" fontId="0" fillId="24" borderId="101" xfId="0" applyFill="1" applyBorder="1" applyAlignment="1">
      <alignment horizontal="center" vertical="center"/>
    </xf>
    <xf numFmtId="0" fontId="0" fillId="24" borderId="102" xfId="0" applyFill="1" applyBorder="1" applyAlignment="1">
      <alignment horizontal="center" vertical="center"/>
    </xf>
    <xf numFmtId="0" fontId="0" fillId="24" borderId="0" xfId="0" applyFill="1" applyBorder="1" applyAlignment="1">
      <alignment horizontal="center" vertical="center"/>
    </xf>
    <xf numFmtId="0" fontId="0" fillId="24" borderId="50" xfId="0" applyFill="1" applyBorder="1" applyAlignment="1">
      <alignment horizontal="center" vertical="center"/>
    </xf>
    <xf numFmtId="0" fontId="0" fillId="24" borderId="123" xfId="0" applyFill="1" applyBorder="1" applyAlignment="1">
      <alignment horizontal="center" vertical="center"/>
    </xf>
    <xf numFmtId="0" fontId="0" fillId="24" borderId="124" xfId="0" applyFill="1" applyBorder="1" applyAlignment="1">
      <alignment horizontal="center" vertical="center"/>
    </xf>
    <xf numFmtId="0" fontId="0" fillId="24" borderId="52" xfId="0" applyFill="1" applyBorder="1" applyAlignment="1" applyProtection="1">
      <alignment vertical="center"/>
      <protection hidden="1"/>
    </xf>
    <xf numFmtId="0" fontId="0" fillId="24" borderId="74" xfId="0" applyFont="1" applyFill="1" applyBorder="1" applyAlignment="1" applyProtection="1">
      <alignment vertical="center"/>
      <protection hidden="1"/>
    </xf>
    <xf numFmtId="0" fontId="0" fillId="24" borderId="78" xfId="0" applyFill="1" applyBorder="1" applyAlignment="1" applyProtection="1">
      <alignment vertical="center"/>
      <protection hidden="1"/>
    </xf>
    <xf numFmtId="0" fontId="0" fillId="24" borderId="78" xfId="0" applyFont="1" applyFill="1" applyBorder="1" applyAlignment="1" applyProtection="1">
      <alignment vertical="center"/>
      <protection hidden="1"/>
    </xf>
    <xf numFmtId="0" fontId="0" fillId="24" borderId="79" xfId="0" applyFont="1" applyFill="1" applyBorder="1" applyAlignment="1" applyProtection="1">
      <alignment vertical="center"/>
      <protection hidden="1"/>
    </xf>
    <xf numFmtId="0" fontId="0" fillId="24" borderId="77" xfId="0" applyFill="1" applyBorder="1" applyAlignment="1" applyProtection="1">
      <alignment vertical="center"/>
      <protection hidden="1"/>
    </xf>
    <xf numFmtId="0" fontId="0" fillId="24" borderId="21" xfId="0" applyFill="1" applyBorder="1" applyAlignment="1" applyProtection="1">
      <alignment vertical="center"/>
      <protection hidden="1"/>
    </xf>
    <xf numFmtId="0" fontId="0" fillId="24" borderId="68" xfId="0" applyFont="1" applyFill="1" applyBorder="1" applyAlignment="1" applyProtection="1">
      <alignment vertical="center"/>
      <protection hidden="1"/>
    </xf>
    <xf numFmtId="0" fontId="0" fillId="24" borderId="15" xfId="0" applyFill="1" applyBorder="1" applyAlignment="1" applyProtection="1">
      <alignment vertical="center"/>
      <protection hidden="1"/>
    </xf>
    <xf numFmtId="0" fontId="0" fillId="24" borderId="15" xfId="0" applyFont="1" applyFill="1" applyBorder="1" applyAlignment="1" applyProtection="1">
      <alignment vertical="center"/>
      <protection hidden="1"/>
    </xf>
    <xf numFmtId="0" fontId="0" fillId="24" borderId="80" xfId="0" applyFill="1" applyBorder="1" applyAlignment="1" applyProtection="1">
      <alignment vertical="center"/>
      <protection hidden="1"/>
    </xf>
    <xf numFmtId="0" fontId="0" fillId="24" borderId="71" xfId="0" applyFont="1" applyFill="1" applyBorder="1" applyAlignment="1" applyProtection="1">
      <alignment vertical="center"/>
      <protection hidden="1"/>
    </xf>
    <xf numFmtId="0" fontId="0" fillId="24" borderId="69" xfId="0" applyFill="1" applyBorder="1" applyAlignment="1" applyProtection="1">
      <alignment vertical="center"/>
      <protection hidden="1"/>
    </xf>
    <xf numFmtId="0" fontId="0" fillId="24" borderId="22" xfId="0" applyFont="1" applyFill="1" applyBorder="1" applyAlignment="1" applyProtection="1">
      <alignment vertical="center"/>
      <protection hidden="1"/>
    </xf>
    <xf numFmtId="0" fontId="0" fillId="24" borderId="76" xfId="0" applyFill="1" applyBorder="1" applyAlignment="1" applyProtection="1">
      <alignment vertical="center"/>
      <protection hidden="1"/>
    </xf>
    <xf numFmtId="0" fontId="0" fillId="24" borderId="52" xfId="0" applyFont="1" applyFill="1" applyBorder="1" applyAlignment="1" applyProtection="1">
      <alignment vertical="center"/>
      <protection hidden="1"/>
    </xf>
    <xf numFmtId="0" fontId="0" fillId="24" borderId="35" xfId="0" applyFill="1" applyBorder="1" applyAlignment="1" applyProtection="1">
      <alignment vertical="center"/>
      <protection hidden="1"/>
    </xf>
    <xf numFmtId="0" fontId="0" fillId="24" borderId="36" xfId="0" applyFont="1" applyFill="1" applyBorder="1" applyAlignment="1" applyProtection="1">
      <alignment vertical="center"/>
      <protection hidden="1"/>
    </xf>
    <xf numFmtId="0" fontId="0" fillId="24" borderId="81" xfId="0" applyFill="1" applyBorder="1" applyAlignment="1" applyProtection="1">
      <alignment vertical="center"/>
      <protection hidden="1"/>
    </xf>
    <xf numFmtId="0" fontId="69" fillId="0" borderId="0" xfId="0" applyFont="1" applyAlignment="1">
      <alignment horizontal="left" wrapText="1"/>
    </xf>
    <xf numFmtId="0" fontId="67" fillId="24" borderId="47" xfId="0" applyFont="1" applyFill="1" applyBorder="1" applyAlignment="1" applyProtection="1">
      <alignment horizontal="left" vertical="center" wrapText="1"/>
      <protection hidden="1"/>
    </xf>
    <xf numFmtId="0" fontId="67" fillId="24" borderId="101" xfId="0" applyFont="1" applyFill="1" applyBorder="1" applyAlignment="1" applyProtection="1">
      <alignment horizontal="left" vertical="center" wrapText="1"/>
      <protection hidden="1"/>
    </xf>
    <xf numFmtId="0" fontId="0" fillId="24" borderId="75" xfId="0" applyFill="1" applyBorder="1" applyAlignment="1" applyProtection="1">
      <alignment vertical="center"/>
      <protection hidden="1"/>
    </xf>
    <xf numFmtId="0" fontId="0" fillId="24" borderId="51" xfId="0" applyFont="1" applyFill="1" applyBorder="1" applyAlignment="1" applyProtection="1">
      <alignment vertical="center"/>
      <protection hidden="1"/>
    </xf>
    <xf numFmtId="0" fontId="0" fillId="24" borderId="81" xfId="0" applyFont="1" applyFill="1" applyBorder="1" applyAlignment="1" applyProtection="1">
      <alignment vertical="center"/>
      <protection hidden="1"/>
    </xf>
    <xf numFmtId="0" fontId="59" fillId="24" borderId="54" xfId="0" applyFont="1" applyFill="1" applyBorder="1" applyAlignment="1" applyProtection="1">
      <alignment horizontal="left" vertical="center" wrapText="1"/>
      <protection hidden="1"/>
    </xf>
    <xf numFmtId="0" fontId="59" fillId="24" borderId="55" xfId="0" applyFont="1" applyFill="1" applyBorder="1" applyAlignment="1" applyProtection="1">
      <alignment horizontal="left" vertical="center" wrapText="1"/>
      <protection hidden="1"/>
    </xf>
    <xf numFmtId="0" fontId="59" fillId="24" borderId="109" xfId="0" applyFont="1" applyFill="1" applyBorder="1" applyAlignment="1" applyProtection="1">
      <alignment horizontal="left" vertical="center" wrapText="1"/>
      <protection hidden="1"/>
    </xf>
    <xf numFmtId="0" fontId="59" fillId="24" borderId="123" xfId="0" applyFont="1" applyFill="1" applyBorder="1" applyAlignment="1" applyProtection="1">
      <alignment horizontal="left" vertical="center" wrapText="1"/>
      <protection hidden="1"/>
    </xf>
    <xf numFmtId="0" fontId="59" fillId="24" borderId="56" xfId="0" applyFont="1" applyFill="1" applyBorder="1" applyAlignment="1" applyProtection="1">
      <alignment horizontal="left" vertical="center" wrapText="1"/>
      <protection hidden="1"/>
    </xf>
    <xf numFmtId="0" fontId="54" fillId="0" borderId="54" xfId="0" applyFont="1" applyBorder="1" applyAlignment="1">
      <alignment horizontal="center"/>
    </xf>
    <xf numFmtId="0" fontId="54" fillId="0" borderId="123" xfId="0" applyFont="1" applyBorder="1" applyAlignment="1">
      <alignment horizontal="center"/>
    </xf>
    <xf numFmtId="0" fontId="54" fillId="0" borderId="122" xfId="0" applyFont="1" applyBorder="1" applyAlignment="1">
      <alignment horizontal="center"/>
    </xf>
    <xf numFmtId="0" fontId="98" fillId="24" borderId="80" xfId="45" applyFont="1" applyFill="1" applyBorder="1" applyAlignment="1">
      <alignment horizontal="left" vertical="center" wrapText="1" indent="1"/>
    </xf>
    <xf numFmtId="0" fontId="98" fillId="24" borderId="126" xfId="45" applyFont="1" applyFill="1" applyBorder="1" applyAlignment="1">
      <alignment horizontal="left" vertical="center" wrapText="1" indent="1"/>
    </xf>
    <xf numFmtId="0" fontId="91" fillId="24" borderId="16" xfId="45" applyFont="1" applyFill="1" applyBorder="1" applyAlignment="1">
      <alignment horizontal="center" vertical="center" wrapText="1"/>
    </xf>
    <xf numFmtId="0" fontId="91" fillId="24" borderId="18" xfId="45" applyFont="1" applyFill="1" applyBorder="1" applyAlignment="1">
      <alignment horizontal="center" vertical="center" wrapText="1"/>
    </xf>
    <xf numFmtId="0" fontId="91" fillId="24" borderId="19" xfId="45" applyFont="1" applyFill="1" applyBorder="1" applyAlignment="1">
      <alignment horizontal="center" vertical="center" wrapText="1"/>
    </xf>
    <xf numFmtId="0" fontId="91" fillId="24" borderId="20" xfId="45" applyFont="1" applyFill="1" applyBorder="1" applyAlignment="1">
      <alignment horizontal="center" vertical="center" wrapText="1"/>
    </xf>
    <xf numFmtId="0" fontId="91" fillId="24" borderId="95" xfId="45" applyFont="1" applyFill="1" applyBorder="1" applyAlignment="1">
      <alignment horizontal="center" vertical="center" wrapText="1"/>
    </xf>
    <xf numFmtId="0" fontId="91" fillId="24" borderId="96" xfId="45" applyFont="1" applyFill="1" applyBorder="1" applyAlignment="1">
      <alignment horizontal="center" vertical="center" wrapText="1"/>
    </xf>
    <xf numFmtId="0" fontId="2" fillId="24" borderId="71" xfId="45" applyFill="1" applyBorder="1" applyAlignment="1">
      <alignment horizontal="center" vertical="center" wrapText="1"/>
    </xf>
    <xf numFmtId="0" fontId="91" fillId="24" borderId="129" xfId="45" applyFont="1" applyFill="1" applyBorder="1" applyAlignment="1">
      <alignment horizontal="center" vertical="center" wrapText="1"/>
    </xf>
    <xf numFmtId="0" fontId="91" fillId="24" borderId="130" xfId="45" applyFont="1" applyFill="1" applyBorder="1" applyAlignment="1">
      <alignment horizontal="center" vertical="center" wrapText="1"/>
    </xf>
    <xf numFmtId="0" fontId="91" fillId="24" borderId="132" xfId="45" applyFont="1" applyFill="1" applyBorder="1" applyAlignment="1">
      <alignment horizontal="center" vertical="center" wrapText="1"/>
    </xf>
    <xf numFmtId="0" fontId="91" fillId="24" borderId="128" xfId="45" applyFont="1" applyFill="1" applyBorder="1" applyAlignment="1">
      <alignment horizontal="center" vertical="center" wrapText="1"/>
    </xf>
    <xf numFmtId="0" fontId="91" fillId="24" borderId="134" xfId="45" applyFont="1" applyFill="1" applyBorder="1" applyAlignment="1">
      <alignment horizontal="center" vertical="center" wrapText="1"/>
    </xf>
    <xf numFmtId="0" fontId="91" fillId="24" borderId="135" xfId="45" applyFont="1" applyFill="1" applyBorder="1" applyAlignment="1">
      <alignment horizontal="center" vertical="center" wrapText="1"/>
    </xf>
    <xf numFmtId="0" fontId="98" fillId="24" borderId="131" xfId="45" applyFont="1" applyFill="1" applyBorder="1" applyAlignment="1">
      <alignment horizontal="left" vertical="center" wrapText="1" indent="1"/>
    </xf>
    <xf numFmtId="0" fontId="98" fillId="24" borderId="133" xfId="45" applyFont="1" applyFill="1" applyBorder="1" applyAlignment="1">
      <alignment horizontal="left" vertical="center" wrapText="1" indent="1"/>
    </xf>
    <xf numFmtId="0" fontId="98" fillId="24" borderId="136" xfId="45" applyFont="1" applyFill="1" applyBorder="1" applyAlignment="1">
      <alignment horizontal="left" vertical="center" wrapText="1" indent="1"/>
    </xf>
    <xf numFmtId="0" fontId="91" fillId="24" borderId="16" xfId="45" applyFont="1" applyFill="1" applyBorder="1" applyAlignment="1">
      <alignment horizontal="center" vertical="center"/>
    </xf>
    <xf numFmtId="0" fontId="91" fillId="24" borderId="18" xfId="45" applyFont="1" applyFill="1" applyBorder="1" applyAlignment="1">
      <alignment horizontal="center" vertical="center"/>
    </xf>
    <xf numFmtId="0" fontId="91" fillId="24" borderId="19" xfId="45" applyFont="1" applyFill="1" applyBorder="1" applyAlignment="1">
      <alignment horizontal="center" vertical="center"/>
    </xf>
    <xf numFmtId="0" fontId="91" fillId="24" borderId="20" xfId="45" applyFont="1" applyFill="1" applyBorder="1" applyAlignment="1">
      <alignment horizontal="center" vertical="center"/>
    </xf>
    <xf numFmtId="0" fontId="91" fillId="24" borderId="95" xfId="45" applyFont="1" applyFill="1" applyBorder="1" applyAlignment="1">
      <alignment horizontal="center" vertical="center"/>
    </xf>
    <xf numFmtId="0" fontId="91" fillId="24" borderId="96" xfId="45" applyFont="1" applyFill="1" applyBorder="1" applyAlignment="1">
      <alignment horizontal="center" vertical="center"/>
    </xf>
    <xf numFmtId="0" fontId="98" fillId="24" borderId="71" xfId="45" applyFont="1" applyFill="1" applyBorder="1" applyAlignment="1">
      <alignment horizontal="left" vertical="center" wrapText="1" indent="1"/>
    </xf>
    <xf numFmtId="0" fontId="91" fillId="24" borderId="17" xfId="45" applyFont="1" applyFill="1" applyBorder="1" applyAlignment="1">
      <alignment horizontal="center" vertical="center"/>
    </xf>
    <xf numFmtId="0" fontId="91" fillId="24" borderId="0" xfId="45" applyFont="1" applyFill="1" applyBorder="1" applyAlignment="1">
      <alignment horizontal="center" vertical="center"/>
    </xf>
    <xf numFmtId="0" fontId="91" fillId="24" borderId="12" xfId="45" applyFont="1" applyFill="1" applyBorder="1" applyAlignment="1">
      <alignment horizontal="center" vertical="center"/>
    </xf>
    <xf numFmtId="0" fontId="98" fillId="24" borderId="133" xfId="45" applyFont="1" applyFill="1" applyBorder="1" applyAlignment="1">
      <alignment horizontal="left" vertical="center" indent="1"/>
    </xf>
    <xf numFmtId="0" fontId="98" fillId="24" borderId="136" xfId="45" applyFont="1" applyFill="1" applyBorder="1" applyAlignment="1">
      <alignment horizontal="left" vertical="center" indent="1"/>
    </xf>
    <xf numFmtId="0" fontId="54" fillId="35" borderId="19" xfId="45" applyFont="1" applyFill="1" applyBorder="1" applyAlignment="1">
      <alignment horizontal="center" vertical="center" wrapText="1"/>
    </xf>
    <xf numFmtId="0" fontId="54" fillId="35" borderId="20" xfId="45" applyFont="1" applyFill="1" applyBorder="1" applyAlignment="1">
      <alignment horizontal="center" vertical="center" wrapText="1"/>
    </xf>
    <xf numFmtId="0" fontId="54" fillId="35" borderId="95" xfId="45" applyFont="1" applyFill="1" applyBorder="1" applyAlignment="1">
      <alignment horizontal="center" vertical="center" wrapText="1"/>
    </xf>
    <xf numFmtId="0" fontId="54" fillId="35" borderId="96" xfId="45" applyFont="1" applyFill="1" applyBorder="1" applyAlignment="1">
      <alignment horizontal="center" vertical="center" wrapText="1"/>
    </xf>
    <xf numFmtId="0" fontId="91" fillId="24" borderId="41" xfId="45" applyFont="1" applyFill="1" applyBorder="1" applyAlignment="1">
      <alignment horizontal="center" vertical="center"/>
    </xf>
    <xf numFmtId="0" fontId="98" fillId="24" borderId="98" xfId="45" applyFont="1" applyFill="1" applyBorder="1" applyAlignment="1">
      <alignment horizontal="center" vertical="center"/>
    </xf>
    <xf numFmtId="0" fontId="59" fillId="24" borderId="124" xfId="0" applyFont="1" applyFill="1" applyBorder="1" applyAlignment="1" applyProtection="1">
      <alignment horizontal="left" vertical="center" wrapText="1"/>
      <protection hidden="1"/>
    </xf>
    <xf numFmtId="0" fontId="67" fillId="24" borderId="100" xfId="0" applyFont="1" applyFill="1" applyBorder="1" applyAlignment="1" applyProtection="1">
      <alignment horizontal="left" vertical="center" wrapText="1"/>
      <protection hidden="1"/>
    </xf>
    <xf numFmtId="0" fontId="67" fillId="24" borderId="102" xfId="0" applyFont="1" applyFill="1" applyBorder="1" applyAlignment="1" applyProtection="1">
      <alignment horizontal="left" vertical="center" wrapText="1"/>
      <protection hidden="1"/>
    </xf>
    <xf numFmtId="0" fontId="120" fillId="24" borderId="54" xfId="0" applyFont="1" applyFill="1" applyBorder="1" applyAlignment="1">
      <alignment horizontal="left" wrapText="1"/>
    </xf>
    <xf numFmtId="0" fontId="120" fillId="24" borderId="123" xfId="0" applyFont="1" applyFill="1" applyBorder="1" applyAlignment="1">
      <alignment horizontal="left" wrapText="1"/>
    </xf>
    <xf numFmtId="0" fontId="120" fillId="24" borderId="124" xfId="0" applyFont="1" applyFill="1" applyBorder="1" applyAlignment="1">
      <alignment horizontal="left" wrapText="1"/>
    </xf>
    <xf numFmtId="0" fontId="125" fillId="24" borderId="13" xfId="0" applyFont="1" applyFill="1" applyBorder="1" applyAlignment="1">
      <alignment vertical="center" wrapText="1"/>
    </xf>
    <xf numFmtId="190" fontId="126" fillId="35" borderId="0" xfId="0" applyNumberFormat="1" applyFont="1" applyFill="1" applyBorder="1" applyAlignment="1">
      <alignment horizontal="center" vertical="center" wrapText="1"/>
    </xf>
    <xf numFmtId="0" fontId="136" fillId="34" borderId="0" xfId="0" applyFont="1" applyFill="1" applyAlignment="1">
      <alignment horizontal="center"/>
    </xf>
    <xf numFmtId="0" fontId="137" fillId="0" borderId="11" xfId="0" applyFont="1" applyFill="1" applyBorder="1" applyAlignment="1">
      <alignment horizontal="center"/>
    </xf>
    <xf numFmtId="0" fontId="140" fillId="34" borderId="12" xfId="0" applyFont="1" applyFill="1" applyBorder="1" applyAlignment="1">
      <alignment horizontal="center"/>
    </xf>
    <xf numFmtId="0" fontId="80" fillId="0" borderId="16" xfId="0" applyFont="1" applyBorder="1" applyAlignment="1">
      <alignment horizontal="center" vertical="center"/>
    </xf>
    <xf numFmtId="0" fontId="80" fillId="0" borderId="18" xfId="0" applyFont="1" applyBorder="1" applyAlignment="1">
      <alignment horizontal="center" vertical="center"/>
    </xf>
    <xf numFmtId="0" fontId="143" fillId="35" borderId="12" xfId="0" applyFont="1" applyFill="1" applyBorder="1" applyAlignment="1">
      <alignment horizontal="center"/>
    </xf>
    <xf numFmtId="49" fontId="131" fillId="34" borderId="80" xfId="0" applyNumberFormat="1" applyFont="1" applyFill="1" applyBorder="1" applyAlignment="1">
      <alignment horizontal="center" vertical="center"/>
    </xf>
    <xf numFmtId="49" fontId="131" fillId="34" borderId="126" xfId="0" applyNumberFormat="1" applyFont="1" applyFill="1" applyBorder="1" applyAlignment="1">
      <alignment horizontal="center" vertical="center"/>
    </xf>
    <xf numFmtId="0" fontId="146" fillId="35" borderId="11" xfId="0" applyFont="1" applyFill="1" applyBorder="1" applyAlignment="1">
      <alignment horizontal="center"/>
    </xf>
    <xf numFmtId="0" fontId="147" fillId="35" borderId="0" xfId="0" applyFont="1" applyFill="1" applyAlignment="1">
      <alignment horizontal="center"/>
    </xf>
    <xf numFmtId="0" fontId="146" fillId="35" borderId="0" xfId="0" applyFont="1" applyFill="1" applyBorder="1" applyAlignment="1">
      <alignment horizontal="center"/>
    </xf>
    <xf numFmtId="0" fontId="140" fillId="34" borderId="83" xfId="0" applyFont="1" applyFill="1" applyBorder="1" applyAlignment="1">
      <alignment horizontal="center"/>
    </xf>
    <xf numFmtId="0" fontId="140" fillId="34" borderId="31" xfId="0" applyFont="1" applyFill="1" applyBorder="1" applyAlignment="1">
      <alignment horizontal="center"/>
    </xf>
    <xf numFmtId="0" fontId="140" fillId="34" borderId="41" xfId="0" applyFont="1" applyFill="1" applyBorder="1" applyAlignment="1">
      <alignment horizontal="center"/>
    </xf>
    <xf numFmtId="0" fontId="140" fillId="34" borderId="97" xfId="0" applyFont="1" applyFill="1" applyBorder="1" applyAlignment="1">
      <alignment horizontal="center"/>
    </xf>
    <xf numFmtId="0" fontId="140" fillId="34" borderId="98" xfId="0" applyFont="1" applyFill="1" applyBorder="1" applyAlignment="1">
      <alignment horizontal="center"/>
    </xf>
    <xf numFmtId="0" fontId="147" fillId="0" borderId="132" xfId="0" applyFont="1" applyFill="1" applyBorder="1" applyAlignment="1">
      <alignment horizontal="center" vertical="center"/>
    </xf>
    <xf numFmtId="0" fontId="147" fillId="0" borderId="0" xfId="0" applyFont="1" applyFill="1" applyBorder="1" applyAlignment="1">
      <alignment horizontal="center" vertical="center"/>
    </xf>
    <xf numFmtId="0" fontId="0" fillId="28" borderId="0" xfId="0" applyFill="1" applyAlignment="1">
      <alignment horizontal="center"/>
    </xf>
    <xf numFmtId="0" fontId="36" fillId="0" borderId="41" xfId="0" applyFont="1" applyBorder="1" applyAlignment="1">
      <alignment horizontal="center"/>
    </xf>
    <xf numFmtId="0" fontId="36" fillId="0" borderId="98" xfId="0" applyFont="1" applyBorder="1" applyAlignment="1">
      <alignment horizontal="center"/>
    </xf>
    <xf numFmtId="0" fontId="36" fillId="0" borderId="97" xfId="0" applyFont="1" applyBorder="1" applyAlignment="1">
      <alignment horizontal="center"/>
    </xf>
    <xf numFmtId="182" fontId="107" fillId="0" borderId="13" xfId="0" applyNumberFormat="1" applyFont="1" applyBorder="1" applyAlignment="1">
      <alignment horizontal="center" wrapText="1"/>
    </xf>
    <xf numFmtId="0" fontId="105" fillId="0" borderId="13" xfId="0" applyFont="1" applyFill="1" applyBorder="1" applyAlignment="1">
      <alignment horizontal="center" vertical="center" wrapText="1"/>
    </xf>
    <xf numFmtId="0" fontId="105" fillId="0" borderId="83" xfId="0" applyFont="1" applyFill="1" applyBorder="1" applyAlignment="1">
      <alignment horizontal="center" vertical="center"/>
    </xf>
    <xf numFmtId="0" fontId="105" fillId="0" borderId="31" xfId="0" applyFont="1" applyFill="1" applyBorder="1" applyAlignment="1">
      <alignment horizontal="center" vertical="center"/>
    </xf>
    <xf numFmtId="0" fontId="83" fillId="0" borderId="94" xfId="0" applyFont="1" applyBorder="1" applyAlignment="1">
      <alignment horizontal="left" vertical="center" wrapText="1"/>
    </xf>
    <xf numFmtId="0" fontId="83" fillId="0" borderId="11" xfId="0" applyFont="1" applyBorder="1" applyAlignment="1">
      <alignment horizontal="left" vertical="center" wrapText="1"/>
    </xf>
    <xf numFmtId="0" fontId="83" fillId="0" borderId="30" xfId="0" applyFont="1" applyBorder="1" applyAlignment="1">
      <alignment horizontal="left" vertical="center" wrapText="1"/>
    </xf>
    <xf numFmtId="0" fontId="70" fillId="0" borderId="12" xfId="0" applyFont="1" applyBorder="1" applyAlignment="1">
      <alignment horizontal="center"/>
    </xf>
    <xf numFmtId="0" fontId="74" fillId="0" borderId="83" xfId="0" applyFont="1" applyBorder="1" applyAlignment="1">
      <alignment horizontal="center" vertical="center"/>
    </xf>
    <xf numFmtId="0" fontId="74" fillId="0" borderId="31" xfId="0" applyFont="1" applyBorder="1" applyAlignment="1">
      <alignment horizontal="center" vertical="center"/>
    </xf>
    <xf numFmtId="0" fontId="74" fillId="0" borderId="83" xfId="0" applyFont="1" applyBorder="1" applyAlignment="1">
      <alignment horizontal="center"/>
    </xf>
    <xf numFmtId="0" fontId="74" fillId="0" borderId="31" xfId="0" applyFont="1" applyBorder="1" applyAlignment="1">
      <alignment horizontal="center"/>
    </xf>
    <xf numFmtId="0" fontId="73" fillId="0" borderId="83" xfId="0" applyFont="1" applyBorder="1" applyAlignment="1">
      <alignment horizontal="left" vertical="center" wrapText="1"/>
    </xf>
    <xf numFmtId="0" fontId="73" fillId="0" borderId="31" xfId="0" applyFont="1" applyBorder="1" applyAlignment="1">
      <alignment horizontal="left" vertical="center" wrapText="1"/>
    </xf>
    <xf numFmtId="39" fontId="89" fillId="28" borderId="91" xfId="72" applyNumberFormat="1" applyFont="1" applyFill="1" applyBorder="1" applyAlignment="1">
      <alignment horizontal="center" vertical="center"/>
    </xf>
    <xf numFmtId="39" fontId="89" fillId="28" borderId="94" xfId="72" applyNumberFormat="1" applyFont="1" applyFill="1" applyBorder="1" applyAlignment="1">
      <alignment horizontal="center" vertical="center"/>
    </xf>
    <xf numFmtId="180" fontId="89" fillId="29" borderId="25" xfId="73" applyNumberFormat="1" applyFont="1" applyFill="1" applyBorder="1" applyAlignment="1">
      <alignment horizontal="center" vertical="center"/>
    </xf>
    <xf numFmtId="180" fontId="89" fillId="29" borderId="27" xfId="73" applyNumberFormat="1" applyFont="1" applyFill="1" applyBorder="1" applyAlignment="1">
      <alignment horizontal="center" vertical="center"/>
    </xf>
    <xf numFmtId="0" fontId="102" fillId="0" borderId="13" xfId="94" applyFont="1" applyFill="1" applyBorder="1" applyAlignment="1">
      <alignment horizontal="center" vertical="center" wrapText="1"/>
    </xf>
    <xf numFmtId="0" fontId="83" fillId="0" borderId="19" xfId="0" applyFont="1" applyBorder="1" applyAlignment="1">
      <alignment horizontal="left" wrapText="1"/>
    </xf>
    <xf numFmtId="0" fontId="83" fillId="0" borderId="0" xfId="0" applyFont="1" applyBorder="1" applyAlignment="1">
      <alignment horizontal="left" wrapText="1"/>
    </xf>
    <xf numFmtId="0" fontId="93" fillId="0" borderId="0" xfId="0" applyFont="1" applyFill="1" applyBorder="1" applyAlignment="1">
      <alignment horizontal="center"/>
    </xf>
    <xf numFmtId="0" fontId="105" fillId="0" borderId="83" xfId="0" applyFont="1" applyFill="1" applyBorder="1" applyAlignment="1">
      <alignment horizontal="center" vertical="center" wrapText="1"/>
    </xf>
    <xf numFmtId="0" fontId="105" fillId="0" borderId="31" xfId="0" applyFont="1" applyFill="1" applyBorder="1" applyAlignment="1">
      <alignment horizontal="center" vertical="center" wrapText="1"/>
    </xf>
    <xf numFmtId="0" fontId="0" fillId="25" borderId="183" xfId="0" applyFill="1" applyBorder="1" applyAlignment="1">
      <alignment horizontal="center"/>
    </xf>
    <xf numFmtId="0" fontId="0" fillId="25" borderId="188" xfId="0" applyFill="1" applyBorder="1" applyAlignment="1">
      <alignment horizontal="center"/>
    </xf>
    <xf numFmtId="0" fontId="73" fillId="0" borderId="177" xfId="0" applyFont="1" applyBorder="1" applyAlignment="1">
      <alignment horizontal="left" vertical="center" wrapText="1"/>
    </xf>
    <xf numFmtId="0" fontId="105" fillId="0" borderId="177" xfId="0" applyFont="1" applyFill="1" applyBorder="1" applyAlignment="1">
      <alignment horizontal="center" vertical="center"/>
    </xf>
    <xf numFmtId="0" fontId="83" fillId="0" borderId="177" xfId="0" applyFont="1" applyBorder="1"/>
    <xf numFmtId="0" fontId="94" fillId="0" borderId="180" xfId="0" applyFont="1" applyBorder="1"/>
    <xf numFmtId="0" fontId="93" fillId="0" borderId="183" xfId="0" applyFont="1" applyBorder="1"/>
    <xf numFmtId="10" fontId="93" fillId="0" borderId="188" xfId="0" applyNumberFormat="1" applyFont="1" applyBorder="1"/>
    <xf numFmtId="0" fontId="74" fillId="0" borderId="170" xfId="0" applyFont="1" applyBorder="1" applyAlignment="1">
      <alignment horizontal="left" vertical="center"/>
    </xf>
    <xf numFmtId="0" fontId="74" fillId="0" borderId="175" xfId="0" applyFont="1" applyBorder="1" applyAlignment="1">
      <alignment horizontal="left" vertical="center"/>
    </xf>
    <xf numFmtId="0" fontId="74" fillId="0" borderId="176" xfId="0" applyFont="1" applyBorder="1" applyAlignment="1">
      <alignment horizontal="left" vertical="center"/>
    </xf>
  </cellXfs>
  <cellStyles count="101">
    <cellStyle name="20% - Énfasis1 2" xfId="1"/>
    <cellStyle name="20% - Énfasis2 2" xfId="2"/>
    <cellStyle name="20% - Énfasis3 2" xfId="3"/>
    <cellStyle name="20% - Énfasis4 2" xfId="4"/>
    <cellStyle name="20% - Énfasis5 2" xfId="5"/>
    <cellStyle name="20% - Énfasis6 2" xfId="6"/>
    <cellStyle name="40% - Énfasis1 2" xfId="7"/>
    <cellStyle name="40% - Énfasis2 2" xfId="8"/>
    <cellStyle name="40% - Énfasis3 2" xfId="9"/>
    <cellStyle name="40% - Énfasis4 2" xfId="10"/>
    <cellStyle name="40% - Énfasis5 2" xfId="11"/>
    <cellStyle name="40% - Énfasis6 2" xfId="12"/>
    <cellStyle name="60% - Énfasis1 2" xfId="13"/>
    <cellStyle name="60% - Énfasis2 2" xfId="14"/>
    <cellStyle name="60% - Énfasis3 2" xfId="15"/>
    <cellStyle name="60% - Énfasis4 2" xfId="16"/>
    <cellStyle name="60% - Énfasis5 2" xfId="17"/>
    <cellStyle name="60% - Énfasis6 2" xfId="18"/>
    <cellStyle name="Accent1 2" xfId="19"/>
    <cellStyle name="Bad 2" xfId="20"/>
    <cellStyle name="Buena 2" xfId="21"/>
    <cellStyle name="Cálculo 2" xfId="22"/>
    <cellStyle name="Celda de comprobación 2" xfId="23"/>
    <cellStyle name="Celda vinculada 2" xfId="24"/>
    <cellStyle name="Comma 2" xfId="25"/>
    <cellStyle name="Encabezado 4 2" xfId="26"/>
    <cellStyle name="Énfasis1 2" xfId="27"/>
    <cellStyle name="Énfasis2 2" xfId="28"/>
    <cellStyle name="Énfasis3 2" xfId="29"/>
    <cellStyle name="Énfasis4 2" xfId="30"/>
    <cellStyle name="Énfasis5 2" xfId="31"/>
    <cellStyle name="Énfasis6 2" xfId="32"/>
    <cellStyle name="Entrada 2" xfId="33"/>
    <cellStyle name="Euro" xfId="34"/>
    <cellStyle name="Hipervínculo" xfId="35" builtinId="8"/>
    <cellStyle name="Hipervínculo 2" xfId="75"/>
    <cellStyle name="Incorrecto 2" xfId="36"/>
    <cellStyle name="Millares" xfId="37" builtinId="3"/>
    <cellStyle name="Millares [0]" xfId="100" builtinId="6"/>
    <cellStyle name="Millares 2" xfId="38"/>
    <cellStyle name="Millares 2 2" xfId="76"/>
    <cellStyle name="Millares 3" xfId="39"/>
    <cellStyle name="Millares 4" xfId="40"/>
    <cellStyle name="Millares 4 2" xfId="77"/>
    <cellStyle name="Millares 5" xfId="41"/>
    <cellStyle name="Millares 6" xfId="71"/>
    <cellStyle name="MLComma0" xfId="78"/>
    <cellStyle name="MLComma0_ETELL ESP vsm" xfId="72"/>
    <cellStyle name="MLPercent0" xfId="73"/>
    <cellStyle name="MLPercent0 2" xfId="79"/>
    <cellStyle name="MLPercent0 3" xfId="80"/>
    <cellStyle name="Moneda" xfId="98" builtinId="4"/>
    <cellStyle name="Moneda [0]" xfId="99" builtinId="7"/>
    <cellStyle name="Moneda 2" xfId="81"/>
    <cellStyle name="Moneda 3" xfId="82"/>
    <cellStyle name="Moneda 4" xfId="83"/>
    <cellStyle name="Moneda 5" xfId="84"/>
    <cellStyle name="Moneda 6" xfId="97"/>
    <cellStyle name="Neutral 2" xfId="42"/>
    <cellStyle name="Neutral 3" xfId="43"/>
    <cellStyle name="Normal" xfId="0" builtinId="0"/>
    <cellStyle name="Normal 12" xfId="94"/>
    <cellStyle name="Normal 2" xfId="44"/>
    <cellStyle name="Normal 2 2" xfId="45"/>
    <cellStyle name="Normal 2 2 2" xfId="46"/>
    <cellStyle name="Normal 2 3" xfId="47"/>
    <cellStyle name="Normal 3" xfId="48"/>
    <cellStyle name="Normal 3 2" xfId="49"/>
    <cellStyle name="Normal 3 3" xfId="74"/>
    <cellStyle name="Normal 4" xfId="50"/>
    <cellStyle name="Normal 4 10 4" xfId="95"/>
    <cellStyle name="Normal 4 2" xfId="85"/>
    <cellStyle name="Normal 5" xfId="51"/>
    <cellStyle name="Normal 6" xfId="52"/>
    <cellStyle name="Normal 6 2" xfId="53"/>
    <cellStyle name="Normal_~6140550" xfId="96"/>
    <cellStyle name="Notas 2" xfId="54"/>
    <cellStyle name="Notas 2 2" xfId="86"/>
    <cellStyle name="Notas 3" xfId="87"/>
    <cellStyle name="Notas 4" xfId="88"/>
    <cellStyle name="Porcentaje" xfId="55" builtinId="5"/>
    <cellStyle name="Porcentaje 2" xfId="56"/>
    <cellStyle name="Porcentaje 3" xfId="70"/>
    <cellStyle name="Porcentaje 4" xfId="89"/>
    <cellStyle name="Porcentaje 5" xfId="90"/>
    <cellStyle name="Porcentual 2" xfId="91"/>
    <cellStyle name="Porcentual 3" xfId="92"/>
    <cellStyle name="Porcentual 4" xfId="93"/>
    <cellStyle name="Salida 2" xfId="57"/>
    <cellStyle name="SAPBEXaggData" xfId="58"/>
    <cellStyle name="SAPBEXaggItem" xfId="59"/>
    <cellStyle name="SAPBEXchaText" xfId="60"/>
    <cellStyle name="SAPBEXstdData" xfId="61"/>
    <cellStyle name="SAPBEXstdItem" xfId="62"/>
    <cellStyle name="Texto de advertencia 2" xfId="63"/>
    <cellStyle name="Texto explicativo 2" xfId="64"/>
    <cellStyle name="Título 1 2" xfId="65"/>
    <cellStyle name="Título 2 2" xfId="66"/>
    <cellStyle name="Título 3 2" xfId="67"/>
    <cellStyle name="Título 4" xfId="68"/>
    <cellStyle name="Total 2" xfId="69"/>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externalLink" Target="externalLinks/externalLink4.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7.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2.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3.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6.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2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9.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905222575849841"/>
          <c:y val="0.14044510875221947"/>
          <c:w val="0.71855217787998149"/>
          <c:h val="0.53266976266255661"/>
        </c:manualLayout>
      </c:layout>
      <c:lineChart>
        <c:grouping val="standard"/>
        <c:varyColors val="0"/>
        <c:ser>
          <c:idx val="4"/>
          <c:order val="0"/>
          <c:tx>
            <c:strRef>
              <c:f>'Estados Financieros'!$A$69</c:f>
              <c:strCache>
                <c:ptCount val="1"/>
                <c:pt idx="0">
                  <c:v>Disponible</c:v>
                </c:pt>
              </c:strCache>
            </c:strRef>
          </c:tx>
          <c:cat>
            <c:numRef>
              <c:f>'Estados Financieros'!$E$5:$I$5</c:f>
              <c:numCache>
                <c:formatCode>General</c:formatCode>
                <c:ptCount val="5"/>
                <c:pt idx="0">
                  <c:v>2010</c:v>
                </c:pt>
                <c:pt idx="1">
                  <c:v>2011</c:v>
                </c:pt>
                <c:pt idx="2">
                  <c:v>2012</c:v>
                </c:pt>
                <c:pt idx="3">
                  <c:v>2013</c:v>
                </c:pt>
                <c:pt idx="4">
                  <c:v>2014</c:v>
                </c:pt>
              </c:numCache>
            </c:numRef>
          </c:cat>
          <c:val>
            <c:numRef>
              <c:f>'Estados Financieros'!$B$69:$I$69</c:f>
              <c:numCache>
                <c:formatCode>#,##0</c:formatCode>
                <c:ptCount val="8"/>
                <c:pt idx="0">
                  <c:v>6226.7349999999997</c:v>
                </c:pt>
                <c:pt idx="1">
                  <c:v>10449.946</c:v>
                </c:pt>
                <c:pt idx="2">
                  <c:v>8903.0879999999997</c:v>
                </c:pt>
                <c:pt idx="3">
                  <c:v>11296.766</c:v>
                </c:pt>
                <c:pt idx="4">
                  <c:v>7637.2430000000004</c:v>
                </c:pt>
                <c:pt idx="5">
                  <c:v>7760.9030000000002</c:v>
                </c:pt>
                <c:pt idx="6">
                  <c:v>11832</c:v>
                </c:pt>
                <c:pt idx="7">
                  <c:v>7493.665</c:v>
                </c:pt>
              </c:numCache>
            </c:numRef>
          </c:val>
          <c:smooth val="1"/>
        </c:ser>
        <c:ser>
          <c:idx val="3"/>
          <c:order val="1"/>
          <c:tx>
            <c:strRef>
              <c:f>'Estados Financieros'!$A$68</c:f>
              <c:strCache>
                <c:ptCount val="1"/>
                <c:pt idx="0">
                  <c:v>Cuentas por Pagar</c:v>
                </c:pt>
              </c:strCache>
            </c:strRef>
          </c:tx>
          <c:cat>
            <c:numRef>
              <c:f>'Estados Financieros'!$E$5:$I$5</c:f>
              <c:numCache>
                <c:formatCode>General</c:formatCode>
                <c:ptCount val="5"/>
                <c:pt idx="0">
                  <c:v>2010</c:v>
                </c:pt>
                <c:pt idx="1">
                  <c:v>2011</c:v>
                </c:pt>
                <c:pt idx="2">
                  <c:v>2012</c:v>
                </c:pt>
                <c:pt idx="3">
                  <c:v>2013</c:v>
                </c:pt>
                <c:pt idx="4">
                  <c:v>2014</c:v>
                </c:pt>
              </c:numCache>
            </c:numRef>
          </c:cat>
          <c:val>
            <c:numRef>
              <c:f>'Estados Financieros'!$B$68:$I$68</c:f>
              <c:numCache>
                <c:formatCode>#,##0</c:formatCode>
                <c:ptCount val="8"/>
                <c:pt idx="0">
                  <c:v>10025.474</c:v>
                </c:pt>
                <c:pt idx="1">
                  <c:v>14401.983</c:v>
                </c:pt>
                <c:pt idx="2">
                  <c:v>12379.909</c:v>
                </c:pt>
                <c:pt idx="3">
                  <c:v>26721.35</c:v>
                </c:pt>
                <c:pt idx="4">
                  <c:v>26829.416000000001</c:v>
                </c:pt>
                <c:pt idx="5">
                  <c:v>15399.891000000001</c:v>
                </c:pt>
                <c:pt idx="6">
                  <c:v>35363</c:v>
                </c:pt>
                <c:pt idx="7">
                  <c:v>58669.265999999996</c:v>
                </c:pt>
              </c:numCache>
            </c:numRef>
          </c:val>
          <c:smooth val="1"/>
        </c:ser>
        <c:ser>
          <c:idx val="2"/>
          <c:order val="2"/>
          <c:tx>
            <c:strRef>
              <c:f>'Estados Financieros'!$A$67</c:f>
              <c:strCache>
                <c:ptCount val="1"/>
                <c:pt idx="0">
                  <c:v>Cartera</c:v>
                </c:pt>
              </c:strCache>
            </c:strRef>
          </c:tx>
          <c:cat>
            <c:numRef>
              <c:f>'Estados Financieros'!$E$5:$I$5</c:f>
              <c:numCache>
                <c:formatCode>General</c:formatCode>
                <c:ptCount val="5"/>
                <c:pt idx="0">
                  <c:v>2010</c:v>
                </c:pt>
                <c:pt idx="1">
                  <c:v>2011</c:v>
                </c:pt>
                <c:pt idx="2">
                  <c:v>2012</c:v>
                </c:pt>
                <c:pt idx="3">
                  <c:v>2013</c:v>
                </c:pt>
                <c:pt idx="4">
                  <c:v>2014</c:v>
                </c:pt>
              </c:numCache>
            </c:numRef>
          </c:cat>
          <c:val>
            <c:numRef>
              <c:f>'Estados Financieros'!$B$67:$I$67</c:f>
              <c:numCache>
                <c:formatCode>#,##0</c:formatCode>
                <c:ptCount val="8"/>
                <c:pt idx="0">
                  <c:v>4493.3069999999998</c:v>
                </c:pt>
                <c:pt idx="1">
                  <c:v>0</c:v>
                </c:pt>
                <c:pt idx="2">
                  <c:v>0</c:v>
                </c:pt>
                <c:pt idx="3">
                  <c:v>0</c:v>
                </c:pt>
                <c:pt idx="4">
                  <c:v>0</c:v>
                </c:pt>
                <c:pt idx="5">
                  <c:v>0</c:v>
                </c:pt>
                <c:pt idx="6">
                  <c:v>0</c:v>
                </c:pt>
                <c:pt idx="7">
                  <c:v>0</c:v>
                </c:pt>
              </c:numCache>
            </c:numRef>
          </c:val>
          <c:smooth val="1"/>
        </c:ser>
        <c:ser>
          <c:idx val="1"/>
          <c:order val="3"/>
          <c:tx>
            <c:strRef>
              <c:f>'Estados Financieros'!$A$66</c:f>
              <c:strCache>
                <c:ptCount val="1"/>
                <c:pt idx="0">
                  <c:v>Inventarios </c:v>
                </c:pt>
              </c:strCache>
            </c:strRef>
          </c:tx>
          <c:cat>
            <c:numRef>
              <c:f>'Estados Financieros'!$E$5:$I$5</c:f>
              <c:numCache>
                <c:formatCode>General</c:formatCode>
                <c:ptCount val="5"/>
                <c:pt idx="0">
                  <c:v>2010</c:v>
                </c:pt>
                <c:pt idx="1">
                  <c:v>2011</c:v>
                </c:pt>
                <c:pt idx="2">
                  <c:v>2012</c:v>
                </c:pt>
                <c:pt idx="3">
                  <c:v>2013</c:v>
                </c:pt>
                <c:pt idx="4">
                  <c:v>2014</c:v>
                </c:pt>
              </c:numCache>
            </c:numRef>
          </c:cat>
          <c:val>
            <c:numRef>
              <c:f>'Estados Financieros'!$B$66:$I$66</c:f>
              <c:numCache>
                <c:formatCode>#,##0</c:formatCode>
                <c:ptCount val="8"/>
                <c:pt idx="0">
                  <c:v>52546.419000000002</c:v>
                </c:pt>
                <c:pt idx="1">
                  <c:v>74267.982000000004</c:v>
                </c:pt>
                <c:pt idx="2">
                  <c:v>29225.924999999999</c:v>
                </c:pt>
                <c:pt idx="3">
                  <c:v>32478.819</c:v>
                </c:pt>
                <c:pt idx="4">
                  <c:v>36059.01</c:v>
                </c:pt>
                <c:pt idx="5">
                  <c:v>38908.821000000004</c:v>
                </c:pt>
                <c:pt idx="6">
                  <c:v>50547</c:v>
                </c:pt>
                <c:pt idx="7">
                  <c:v>78654.81</c:v>
                </c:pt>
              </c:numCache>
            </c:numRef>
          </c:val>
          <c:smooth val="1"/>
        </c:ser>
        <c:ser>
          <c:idx val="5"/>
          <c:order val="4"/>
          <c:tx>
            <c:strRef>
              <c:f>'Estados Financieros'!$A$70</c:f>
              <c:strCache>
                <c:ptCount val="1"/>
                <c:pt idx="0">
                  <c:v>Capital de Trabajo Neto Operativo </c:v>
                </c:pt>
              </c:strCache>
            </c:strRef>
          </c:tx>
          <c:cat>
            <c:numRef>
              <c:f>'Estados Financieros'!$E$5:$I$5</c:f>
              <c:numCache>
                <c:formatCode>General</c:formatCode>
                <c:ptCount val="5"/>
                <c:pt idx="0">
                  <c:v>2010</c:v>
                </c:pt>
                <c:pt idx="1">
                  <c:v>2011</c:v>
                </c:pt>
                <c:pt idx="2">
                  <c:v>2012</c:v>
                </c:pt>
                <c:pt idx="3">
                  <c:v>2013</c:v>
                </c:pt>
                <c:pt idx="4">
                  <c:v>2014</c:v>
                </c:pt>
              </c:numCache>
            </c:numRef>
          </c:cat>
          <c:val>
            <c:numRef>
              <c:f>'Estados Financieros'!$B$70:$I$70</c:f>
              <c:numCache>
                <c:formatCode>#,##0</c:formatCode>
                <c:ptCount val="8"/>
                <c:pt idx="0">
                  <c:v>53240.987000000001</c:v>
                </c:pt>
                <c:pt idx="1">
                  <c:v>70315.945000000007</c:v>
                </c:pt>
                <c:pt idx="2">
                  <c:v>25749.103999999999</c:v>
                </c:pt>
                <c:pt idx="3">
                  <c:v>17054.235000000001</c:v>
                </c:pt>
                <c:pt idx="4">
                  <c:v>16866.837</c:v>
                </c:pt>
                <c:pt idx="5">
                  <c:v>31269.832999999999</c:v>
                </c:pt>
                <c:pt idx="6">
                  <c:v>27016</c:v>
                </c:pt>
                <c:pt idx="7">
                  <c:v>27479.209000000003</c:v>
                </c:pt>
              </c:numCache>
            </c:numRef>
          </c:val>
          <c:smooth val="1"/>
        </c:ser>
        <c:dLbls>
          <c:showLegendKey val="0"/>
          <c:showVal val="0"/>
          <c:showCatName val="0"/>
          <c:showSerName val="0"/>
          <c:showPercent val="0"/>
          <c:showBubbleSize val="0"/>
        </c:dLbls>
        <c:marker val="1"/>
        <c:smooth val="0"/>
        <c:axId val="493639296"/>
        <c:axId val="493640416"/>
      </c:lineChart>
      <c:lineChart>
        <c:grouping val="standard"/>
        <c:varyColors val="0"/>
        <c:ser>
          <c:idx val="0"/>
          <c:order val="5"/>
          <c:tx>
            <c:strRef>
              <c:f>'Estados Financieros'!$A$65</c:f>
              <c:strCache>
                <c:ptCount val="1"/>
                <c:pt idx="0">
                  <c:v>Ventas</c:v>
                </c:pt>
              </c:strCache>
            </c:strRef>
          </c:tx>
          <c:cat>
            <c:strRef>
              <c:f>'[1]Estados Financieros AC Nielsen '!$B$58:$G$58</c:f>
              <c:strCache>
                <c:ptCount val="6"/>
                <c:pt idx="0">
                  <c:v>2007</c:v>
                </c:pt>
                <c:pt idx="1">
                  <c:v>2008</c:v>
                </c:pt>
                <c:pt idx="2">
                  <c:v>2009</c:v>
                </c:pt>
                <c:pt idx="3">
                  <c:v>2010</c:v>
                </c:pt>
                <c:pt idx="4">
                  <c:v>2011</c:v>
                </c:pt>
                <c:pt idx="5">
                  <c:v>2012</c:v>
                </c:pt>
              </c:strCache>
            </c:strRef>
          </c:cat>
          <c:val>
            <c:numRef>
              <c:f>'Estados Financieros'!$B$65:$I$65</c:f>
              <c:numCache>
                <c:formatCode>#,##0</c:formatCode>
                <c:ptCount val="8"/>
                <c:pt idx="0">
                  <c:v>68245.282000000007</c:v>
                </c:pt>
                <c:pt idx="1">
                  <c:v>76021.293999999994</c:v>
                </c:pt>
                <c:pt idx="2">
                  <c:v>79887.293999999994</c:v>
                </c:pt>
                <c:pt idx="3">
                  <c:v>85757.510999999999</c:v>
                </c:pt>
                <c:pt idx="4">
                  <c:v>91145.91</c:v>
                </c:pt>
                <c:pt idx="5">
                  <c:v>92529.489000000001</c:v>
                </c:pt>
                <c:pt idx="6">
                  <c:v>99703.27</c:v>
                </c:pt>
                <c:pt idx="7">
                  <c:v>99918.35</c:v>
                </c:pt>
              </c:numCache>
            </c:numRef>
          </c:val>
          <c:smooth val="1"/>
        </c:ser>
        <c:dLbls>
          <c:showLegendKey val="0"/>
          <c:showVal val="0"/>
          <c:showCatName val="0"/>
          <c:showSerName val="0"/>
          <c:showPercent val="0"/>
          <c:showBubbleSize val="0"/>
        </c:dLbls>
        <c:marker val="1"/>
        <c:smooth val="0"/>
        <c:axId val="493642656"/>
        <c:axId val="493641536"/>
      </c:lineChart>
      <c:catAx>
        <c:axId val="493639296"/>
        <c:scaling>
          <c:orientation val="minMax"/>
        </c:scaling>
        <c:delete val="0"/>
        <c:axPos val="b"/>
        <c:numFmt formatCode="General" sourceLinked="1"/>
        <c:majorTickMark val="out"/>
        <c:minorTickMark val="none"/>
        <c:tickLblPos val="nextTo"/>
        <c:txPr>
          <a:bodyPr rot="0" vert="horz"/>
          <a:lstStyle/>
          <a:p>
            <a:pPr>
              <a:defRPr lang="es-CO" sz="1000" b="0" i="0" u="none" strike="noStrike" baseline="0">
                <a:solidFill>
                  <a:srgbClr val="000000"/>
                </a:solidFill>
                <a:latin typeface="Calibri"/>
                <a:ea typeface="Calibri"/>
                <a:cs typeface="Calibri"/>
              </a:defRPr>
            </a:pPr>
            <a:endParaRPr lang="es-CO"/>
          </a:p>
        </c:txPr>
        <c:crossAx val="493640416"/>
        <c:crosses val="autoZero"/>
        <c:auto val="1"/>
        <c:lblAlgn val="ctr"/>
        <c:lblOffset val="100"/>
        <c:noMultiLvlLbl val="0"/>
      </c:catAx>
      <c:valAx>
        <c:axId val="493640416"/>
        <c:scaling>
          <c:orientation val="minMax"/>
        </c:scaling>
        <c:delete val="0"/>
        <c:axPos val="l"/>
        <c:majorGridlines/>
        <c:numFmt formatCode="#,##0" sourceLinked="0"/>
        <c:majorTickMark val="out"/>
        <c:minorTickMark val="none"/>
        <c:tickLblPos val="nextTo"/>
        <c:txPr>
          <a:bodyPr rot="0" vert="horz"/>
          <a:lstStyle/>
          <a:p>
            <a:pPr>
              <a:defRPr lang="es-CO" sz="1000" b="0" i="0" u="none" strike="noStrike" baseline="0">
                <a:solidFill>
                  <a:srgbClr val="000000"/>
                </a:solidFill>
                <a:latin typeface="Calibri"/>
                <a:ea typeface="Calibri"/>
                <a:cs typeface="Calibri"/>
              </a:defRPr>
            </a:pPr>
            <a:endParaRPr lang="es-CO"/>
          </a:p>
        </c:txPr>
        <c:crossAx val="493639296"/>
        <c:crosses val="autoZero"/>
        <c:crossBetween val="between"/>
      </c:valAx>
      <c:valAx>
        <c:axId val="493641536"/>
        <c:scaling>
          <c:orientation val="minMax"/>
        </c:scaling>
        <c:delete val="0"/>
        <c:axPos val="r"/>
        <c:numFmt formatCode="#,##0" sourceLinked="1"/>
        <c:majorTickMark val="out"/>
        <c:minorTickMark val="none"/>
        <c:tickLblPos val="nextTo"/>
        <c:crossAx val="493642656"/>
        <c:crosses val="max"/>
        <c:crossBetween val="between"/>
      </c:valAx>
      <c:catAx>
        <c:axId val="493642656"/>
        <c:scaling>
          <c:orientation val="minMax"/>
        </c:scaling>
        <c:delete val="1"/>
        <c:axPos val="b"/>
        <c:numFmt formatCode="General" sourceLinked="1"/>
        <c:majorTickMark val="out"/>
        <c:minorTickMark val="none"/>
        <c:tickLblPos val="none"/>
        <c:crossAx val="493641536"/>
        <c:crosses val="autoZero"/>
        <c:auto val="1"/>
        <c:lblAlgn val="ctr"/>
        <c:lblOffset val="100"/>
        <c:noMultiLvlLbl val="0"/>
      </c:catAx>
    </c:plotArea>
    <c:legend>
      <c:legendPos val="r"/>
      <c:layout>
        <c:manualLayout>
          <c:xMode val="edge"/>
          <c:yMode val="edge"/>
          <c:x val="5.1626354363413673E-2"/>
          <c:y val="0.69671117160758333"/>
          <c:w val="0.94278212730681521"/>
          <c:h val="0.20840956555971471"/>
        </c:manualLayout>
      </c:layout>
      <c:overlay val="0"/>
      <c:txPr>
        <a:bodyPr/>
        <a:lstStyle/>
        <a:p>
          <a:pPr>
            <a:defRPr lang="es-CO" sz="920" b="0" i="0" u="none" strike="noStrike" baseline="0">
              <a:solidFill>
                <a:srgbClr val="000000"/>
              </a:solidFill>
              <a:latin typeface="Calibri"/>
              <a:ea typeface="Calibri"/>
              <a:cs typeface="Calibri"/>
            </a:defRPr>
          </a:pPr>
          <a:endParaRPr lang="es-CO"/>
        </a:p>
      </c:txPr>
    </c:legend>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22" l="0.70000000000000062" r="0.70000000000000062" t="0.75000000000000522"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lang="es-CO" sz="1600">
                <a:latin typeface="Times New Roman" pitchFamily="18" charset="0"/>
                <a:cs typeface="Times New Roman" pitchFamily="18" charset="0"/>
              </a:defRPr>
            </a:pPr>
            <a:r>
              <a:rPr lang="es-CO" sz="1600">
                <a:latin typeface="Times New Roman" pitchFamily="18" charset="0"/>
                <a:cs typeface="Times New Roman" pitchFamily="18" charset="0"/>
              </a:rPr>
              <a:t>Patrimonio 2014</a:t>
            </a:r>
          </a:p>
        </c:rich>
      </c:tx>
      <c:layout>
        <c:manualLayout>
          <c:xMode val="edge"/>
          <c:yMode val="edge"/>
          <c:x val="0.32338188976378179"/>
          <c:y val="4.1666666666666664E-2"/>
        </c:manualLayout>
      </c:layout>
      <c:overlay val="0"/>
    </c:title>
    <c:autoTitleDeleted val="0"/>
    <c:plotArea>
      <c:layout>
        <c:manualLayout>
          <c:layoutTarget val="inner"/>
          <c:xMode val="edge"/>
          <c:yMode val="edge"/>
          <c:x val="3.5662559471132393E-2"/>
          <c:y val="0.26627131001750776"/>
          <c:w val="0.53386220094245895"/>
          <c:h val="0.58530873444518861"/>
        </c:manualLayout>
      </c:layout>
      <c:pieChart>
        <c:varyColors val="1"/>
        <c:ser>
          <c:idx val="0"/>
          <c:order val="0"/>
          <c:dLbls>
            <c:spPr>
              <a:noFill/>
              <a:ln>
                <a:noFill/>
              </a:ln>
              <a:effectLst/>
            </c:spPr>
            <c:showLegendKey val="0"/>
            <c:showVal val="0"/>
            <c:showCatName val="0"/>
            <c:showSerName val="0"/>
            <c:showPercent val="1"/>
            <c:showBubbleSize val="0"/>
            <c:showLeaderLines val="0"/>
            <c:extLst>
              <c:ext xmlns:c15="http://schemas.microsoft.com/office/drawing/2012/chart" uri="{CE6537A1-D6FC-4f65-9D91-7224C49458BB}"/>
            </c:extLst>
          </c:dLbls>
          <c:cat>
            <c:strRef>
              <c:f>'Gráficas 2013'!$A$150:$A$153</c:f>
              <c:strCache>
                <c:ptCount val="4"/>
                <c:pt idx="0">
                  <c:v>31 SUBTOTAL  CAPITAL SOCIAL </c:v>
                </c:pt>
                <c:pt idx="1">
                  <c:v>33 RESERVAS (ANEXO 11)  </c:v>
                </c:pt>
                <c:pt idx="2">
                  <c:v>34 REVALORIZACIÓN DEL PATRIMONIO  </c:v>
                </c:pt>
                <c:pt idx="3">
                  <c:v>36 RESULTADOS DEL EJERCICIO </c:v>
                </c:pt>
              </c:strCache>
            </c:strRef>
          </c:cat>
          <c:val>
            <c:numRef>
              <c:f>'Gráficas 2013'!$E$150:$E$153</c:f>
              <c:numCache>
                <c:formatCode>0.00%</c:formatCode>
                <c:ptCount val="4"/>
                <c:pt idx="0">
                  <c:v>0.24652472158439598</c:v>
                </c:pt>
                <c:pt idx="1">
                  <c:v>0.13477965295513727</c:v>
                </c:pt>
                <c:pt idx="2">
                  <c:v>0.13794727049404684</c:v>
                </c:pt>
                <c:pt idx="3">
                  <c:v>0.48074835496641988</c:v>
                </c:pt>
              </c:numCache>
            </c:numRef>
          </c:val>
        </c:ser>
        <c:dLbls>
          <c:showLegendKey val="0"/>
          <c:showVal val="0"/>
          <c:showCatName val="0"/>
          <c:showSerName val="0"/>
          <c:showPercent val="1"/>
          <c:showBubbleSize val="0"/>
          <c:showLeaderLines val="0"/>
        </c:dLbls>
        <c:firstSliceAng val="0"/>
      </c:pieChart>
    </c:plotArea>
    <c:legend>
      <c:legendPos val="r"/>
      <c:layout>
        <c:manualLayout>
          <c:xMode val="edge"/>
          <c:yMode val="edge"/>
          <c:x val="0.54265708589704742"/>
          <c:y val="0.18203474857441904"/>
          <c:w val="0.41229665963885681"/>
          <c:h val="0.7544578613352817"/>
        </c:manualLayout>
      </c:layout>
      <c:overlay val="0"/>
      <c:txPr>
        <a:bodyPr/>
        <a:lstStyle/>
        <a:p>
          <a:pPr>
            <a:defRPr lang="es-CO" sz="900">
              <a:latin typeface="Times New Roman" pitchFamily="18" charset="0"/>
              <a:cs typeface="Times New Roman" pitchFamily="18" charset="0"/>
            </a:defRPr>
          </a:pPr>
          <a:endParaRPr lang="es-CO"/>
        </a:p>
      </c:txPr>
    </c:legend>
    <c:plotVisOnly val="1"/>
    <c:dispBlanksAs val="zero"/>
    <c:showDLblsOverMax val="0"/>
  </c:chart>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'Comparación de indicadores'!$A$56:$A$59</c:f>
              <c:strCache>
                <c:ptCount val="1"/>
                <c:pt idx="0">
                  <c:v>Rotación de Cartera</c:v>
                </c:pt>
              </c:strCache>
            </c:strRef>
          </c:tx>
          <c:invertIfNegative val="0"/>
          <c:cat>
            <c:numRef>
              <c:f>'Comparación de indicadores'!$E$3:$I$3</c:f>
              <c:numCache>
                <c:formatCode>#,##0_);[Red]\(#,##0\)</c:formatCode>
                <c:ptCount val="5"/>
                <c:pt idx="0">
                  <c:v>2010</c:v>
                </c:pt>
                <c:pt idx="1">
                  <c:v>2011</c:v>
                </c:pt>
                <c:pt idx="2">
                  <c:v>2012</c:v>
                </c:pt>
                <c:pt idx="3">
                  <c:v>2013</c:v>
                </c:pt>
                <c:pt idx="4">
                  <c:v>2014</c:v>
                </c:pt>
              </c:numCache>
            </c:numRef>
          </c:cat>
          <c:val>
            <c:numRef>
              <c:f>'Comparación de indicadores'!$C$58:$J$58</c:f>
              <c:numCache>
                <c:formatCode>0</c:formatCode>
                <c:ptCount val="8"/>
                <c:pt idx="0">
                  <c:v>71.42938977071347</c:v>
                </c:pt>
                <c:pt idx="1">
                  <c:v>73.680219660463152</c:v>
                </c:pt>
                <c:pt idx="2">
                  <c:v>78.498541544658408</c:v>
                </c:pt>
                <c:pt idx="3">
                  <c:v>68.898993931817657</c:v>
                </c:pt>
                <c:pt idx="4">
                  <c:v>77.840342498811381</c:v>
                </c:pt>
                <c:pt idx="5">
                  <c:v>81.648224777381927</c:v>
                </c:pt>
                <c:pt idx="6">
                  <c:v>104.58834563421033</c:v>
                </c:pt>
                <c:pt idx="7" formatCode="_(* #,##0.00_);_(* \(#,##0.00\);_(* &quot;-&quot;??_);_(@_)">
                  <c:v>82.294889677375949</c:v>
                </c:pt>
              </c:numCache>
            </c:numRef>
          </c:val>
        </c:ser>
        <c:ser>
          <c:idx val="1"/>
          <c:order val="1"/>
          <c:tx>
            <c:strRef>
              <c:f>'Comparación de indicadores'!$A$60:$A$63</c:f>
              <c:strCache>
                <c:ptCount val="1"/>
                <c:pt idx="0">
                  <c:v>Rotación de Inventarios</c:v>
                </c:pt>
              </c:strCache>
            </c:strRef>
          </c:tx>
          <c:invertIfNegative val="0"/>
          <c:cat>
            <c:numRef>
              <c:f>'Comparación de indicadores'!$E$3:$I$3</c:f>
              <c:numCache>
                <c:formatCode>#,##0_);[Red]\(#,##0\)</c:formatCode>
                <c:ptCount val="5"/>
                <c:pt idx="0">
                  <c:v>2010</c:v>
                </c:pt>
                <c:pt idx="1">
                  <c:v>2011</c:v>
                </c:pt>
                <c:pt idx="2">
                  <c:v>2012</c:v>
                </c:pt>
                <c:pt idx="3">
                  <c:v>2013</c:v>
                </c:pt>
                <c:pt idx="4">
                  <c:v>2014</c:v>
                </c:pt>
              </c:numCache>
            </c:numRef>
          </c:cat>
          <c:val>
            <c:numRef>
              <c:f>'Comparación de indicadores'!$C$62:$J$62</c:f>
              <c:numCache>
                <c:formatCode>0</c:formatCode>
                <c:ptCount val="8"/>
                <c:pt idx="0">
                  <c:v>0</c:v>
                </c:pt>
                <c:pt idx="1">
                  <c:v>0</c:v>
                </c:pt>
                <c:pt idx="2">
                  <c:v>0</c:v>
                </c:pt>
                <c:pt idx="3">
                  <c:v>0</c:v>
                </c:pt>
                <c:pt idx="4">
                  <c:v>0</c:v>
                </c:pt>
                <c:pt idx="5">
                  <c:v>0</c:v>
                </c:pt>
                <c:pt idx="6">
                  <c:v>0</c:v>
                </c:pt>
                <c:pt idx="7" formatCode="_(* #,##0.00_);_(* \(#,##0.00\);_(* &quot;-&quot;??_);_(@_)">
                  <c:v>0</c:v>
                </c:pt>
              </c:numCache>
            </c:numRef>
          </c:val>
        </c:ser>
        <c:dLbls>
          <c:showLegendKey val="0"/>
          <c:showVal val="0"/>
          <c:showCatName val="0"/>
          <c:showSerName val="0"/>
          <c:showPercent val="0"/>
          <c:showBubbleSize val="0"/>
        </c:dLbls>
        <c:gapWidth val="150"/>
        <c:shape val="cylinder"/>
        <c:axId val="588824000"/>
        <c:axId val="588824560"/>
        <c:axId val="0"/>
      </c:bar3DChart>
      <c:catAx>
        <c:axId val="588824000"/>
        <c:scaling>
          <c:orientation val="minMax"/>
        </c:scaling>
        <c:delete val="0"/>
        <c:axPos val="b"/>
        <c:numFmt formatCode="#,##0_);[Red]\(#,##0\)" sourceLinked="1"/>
        <c:majorTickMark val="none"/>
        <c:minorTickMark val="none"/>
        <c:tickLblPos val="nextTo"/>
        <c:txPr>
          <a:bodyPr/>
          <a:lstStyle/>
          <a:p>
            <a:pPr>
              <a:defRPr lang="es-CO"/>
            </a:pPr>
            <a:endParaRPr lang="es-CO"/>
          </a:p>
        </c:txPr>
        <c:crossAx val="588824560"/>
        <c:crosses val="autoZero"/>
        <c:auto val="1"/>
        <c:lblAlgn val="ctr"/>
        <c:lblOffset val="100"/>
        <c:noMultiLvlLbl val="0"/>
      </c:catAx>
      <c:valAx>
        <c:axId val="588824560"/>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txPr>
          <a:bodyPr/>
          <a:lstStyle/>
          <a:p>
            <a:pPr>
              <a:defRPr lang="es-CO"/>
            </a:pPr>
            <a:endParaRPr lang="es-CO"/>
          </a:p>
        </c:txPr>
        <c:crossAx val="588824000"/>
        <c:crosses val="autoZero"/>
        <c:crossBetween val="between"/>
      </c:valAx>
    </c:plotArea>
    <c:legend>
      <c:legendPos val="r"/>
      <c:overlay val="0"/>
      <c:txPr>
        <a:bodyPr/>
        <a:lstStyle/>
        <a:p>
          <a:pPr>
            <a:defRPr lang="es-CO"/>
          </a:pPr>
          <a:endParaRPr lang="es-CO"/>
        </a:p>
      </c:txPr>
    </c:legend>
    <c:plotVisOnly val="1"/>
    <c:dispBlanksAs val="gap"/>
    <c:showDLblsOverMax val="0"/>
  </c:chart>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lineChart>
        <c:grouping val="standard"/>
        <c:varyColors val="0"/>
        <c:ser>
          <c:idx val="0"/>
          <c:order val="0"/>
          <c:tx>
            <c:strRef>
              <c:f>'Comparación de indicadores'!$A$8:$B$8</c:f>
              <c:strCache>
                <c:ptCount val="2"/>
                <c:pt idx="0">
                  <c:v>Crecimiento en Activos</c:v>
                </c:pt>
                <c:pt idx="1">
                  <c:v>Sector </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indicadores'!$E$8:$I$8</c:f>
              <c:numCache>
                <c:formatCode>0.00%</c:formatCode>
                <c:ptCount val="5"/>
                <c:pt idx="0">
                  <c:v>7.6790539625526399E-3</c:v>
                </c:pt>
                <c:pt idx="1">
                  <c:v>0.21182888715950732</c:v>
                </c:pt>
                <c:pt idx="2">
                  <c:v>6.595527820686975E-2</c:v>
                </c:pt>
                <c:pt idx="3">
                  <c:v>0.10192496805271367</c:v>
                </c:pt>
                <c:pt idx="4">
                  <c:v>6.9134029321682888E-2</c:v>
                </c:pt>
              </c:numCache>
            </c:numRef>
          </c:val>
          <c:smooth val="1"/>
        </c:ser>
        <c:ser>
          <c:idx val="1"/>
          <c:order val="1"/>
          <c:tx>
            <c:strRef>
              <c:f>'Comparación de indicadores'!$A$9:$B$9</c:f>
              <c:strCache>
                <c:ptCount val="2"/>
                <c:pt idx="0">
                  <c:v>Crecimiento en Activos</c:v>
                </c:pt>
                <c:pt idx="1">
                  <c:v>AC Nielsen de Colombia Ltda</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indicadores'!$E$9:$I$9</c:f>
              <c:numCache>
                <c:formatCode>0.00%</c:formatCode>
                <c:ptCount val="5"/>
                <c:pt idx="0">
                  <c:v>4.814029837536804E-2</c:v>
                </c:pt>
                <c:pt idx="1">
                  <c:v>4.5224810877884103E-2</c:v>
                </c:pt>
                <c:pt idx="2">
                  <c:v>-0.46987342133711385</c:v>
                </c:pt>
                <c:pt idx="3">
                  <c:v>0.32268213947894786</c:v>
                </c:pt>
                <c:pt idx="4">
                  <c:v>0.29746595111754304</c:v>
                </c:pt>
              </c:numCache>
            </c:numRef>
          </c:val>
          <c:smooth val="1"/>
        </c:ser>
        <c:dLbls>
          <c:showLegendKey val="0"/>
          <c:showVal val="0"/>
          <c:showCatName val="0"/>
          <c:showSerName val="0"/>
          <c:showPercent val="0"/>
          <c:showBubbleSize val="0"/>
        </c:dLbls>
        <c:smooth val="0"/>
        <c:axId val="588827920"/>
        <c:axId val="588828480"/>
      </c:lineChart>
      <c:catAx>
        <c:axId val="588827920"/>
        <c:scaling>
          <c:orientation val="minMax"/>
        </c:scaling>
        <c:delete val="0"/>
        <c:axPos val="b"/>
        <c:numFmt formatCode="#,##0_);[Red]\(#,##0\)" sourceLinked="1"/>
        <c:majorTickMark val="none"/>
        <c:minorTickMark val="none"/>
        <c:tickLblPos val="nextTo"/>
        <c:txPr>
          <a:bodyPr/>
          <a:lstStyle/>
          <a:p>
            <a:pPr>
              <a:defRPr lang="es-CO"/>
            </a:pPr>
            <a:endParaRPr lang="es-CO"/>
          </a:p>
        </c:txPr>
        <c:crossAx val="588828480"/>
        <c:crosses val="autoZero"/>
        <c:auto val="1"/>
        <c:lblAlgn val="ctr"/>
        <c:lblOffset val="100"/>
        <c:noMultiLvlLbl val="0"/>
      </c:catAx>
      <c:valAx>
        <c:axId val="588828480"/>
        <c:scaling>
          <c:orientation val="minMax"/>
        </c:scaling>
        <c:delete val="0"/>
        <c:axPos val="l"/>
        <c:majorGridlines>
          <c:spPr>
            <a:ln>
              <a:solidFill>
                <a:schemeClr val="bg1">
                  <a:lumMod val="85000"/>
                </a:schemeClr>
              </a:solidFill>
            </a:ln>
          </c:spPr>
        </c:majorGridlines>
        <c:numFmt formatCode="0.00%" sourceLinked="1"/>
        <c:majorTickMark val="none"/>
        <c:minorTickMark val="none"/>
        <c:tickLblPos val="nextTo"/>
        <c:txPr>
          <a:bodyPr/>
          <a:lstStyle/>
          <a:p>
            <a:pPr>
              <a:defRPr lang="es-CO"/>
            </a:pPr>
            <a:endParaRPr lang="es-CO"/>
          </a:p>
        </c:txPr>
        <c:crossAx val="588827920"/>
        <c:crosses val="autoZero"/>
        <c:crossBetween val="between"/>
      </c:valAx>
      <c:dTable>
        <c:showHorzBorder val="1"/>
        <c:showVertBorder val="1"/>
        <c:showOutline val="1"/>
        <c:showKeys val="1"/>
        <c:txPr>
          <a:bodyPr/>
          <a:lstStyle/>
          <a:p>
            <a:pPr rtl="0">
              <a:defRPr lang="es-CO"/>
            </a:pPr>
            <a:endParaRPr lang="es-CO"/>
          </a:p>
        </c:txPr>
      </c:dTable>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lineChart>
        <c:grouping val="standard"/>
        <c:varyColors val="0"/>
        <c:ser>
          <c:idx val="0"/>
          <c:order val="0"/>
          <c:tx>
            <c:strRef>
              <c:f>'Comparación de indicadores'!$A$10:$B$10</c:f>
              <c:strCache>
                <c:ptCount val="2"/>
                <c:pt idx="0">
                  <c:v>Crecimiento en Utilidades Netas</c:v>
                </c:pt>
                <c:pt idx="1">
                  <c:v>Sector </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indicadores'!$E$10:$I$10</c:f>
              <c:numCache>
                <c:formatCode>0.00%</c:formatCode>
                <c:ptCount val="5"/>
                <c:pt idx="0">
                  <c:v>0.35726029417185834</c:v>
                </c:pt>
                <c:pt idx="1">
                  <c:v>-4.5292571105751467E-2</c:v>
                </c:pt>
                <c:pt idx="2">
                  <c:v>-3.2499971551145368E-2</c:v>
                </c:pt>
                <c:pt idx="3">
                  <c:v>0.18794180261347204</c:v>
                </c:pt>
                <c:pt idx="4">
                  <c:v>-0.32458415841584154</c:v>
                </c:pt>
              </c:numCache>
            </c:numRef>
          </c:val>
          <c:smooth val="1"/>
        </c:ser>
        <c:ser>
          <c:idx val="1"/>
          <c:order val="1"/>
          <c:tx>
            <c:strRef>
              <c:f>'Comparación de indicadores'!$A$11:$B$11</c:f>
              <c:strCache>
                <c:ptCount val="2"/>
                <c:pt idx="0">
                  <c:v>Crecimiento en Utilidades Netas</c:v>
                </c:pt>
                <c:pt idx="1">
                  <c:v>AC Nielsen de Colombia Ltda</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indicadores'!$E$11:$I$11</c:f>
              <c:numCache>
                <c:formatCode>0.00%</c:formatCode>
                <c:ptCount val="5"/>
                <c:pt idx="0">
                  <c:v>0.29964431387218782</c:v>
                </c:pt>
                <c:pt idx="1">
                  <c:v>-1.2932195477754926E-2</c:v>
                </c:pt>
                <c:pt idx="2">
                  <c:v>-0.16203681207772458</c:v>
                </c:pt>
                <c:pt idx="3">
                  <c:v>-7.9566204557201536E-2</c:v>
                </c:pt>
                <c:pt idx="4">
                  <c:v>8.4822357469828802E-2</c:v>
                </c:pt>
              </c:numCache>
            </c:numRef>
          </c:val>
          <c:smooth val="1"/>
        </c:ser>
        <c:dLbls>
          <c:showLegendKey val="0"/>
          <c:showVal val="0"/>
          <c:showCatName val="0"/>
          <c:showSerName val="0"/>
          <c:showPercent val="0"/>
          <c:showBubbleSize val="0"/>
        </c:dLbls>
        <c:smooth val="0"/>
        <c:axId val="587354304"/>
        <c:axId val="587354864"/>
      </c:lineChart>
      <c:catAx>
        <c:axId val="587354304"/>
        <c:scaling>
          <c:orientation val="minMax"/>
        </c:scaling>
        <c:delete val="0"/>
        <c:axPos val="b"/>
        <c:numFmt formatCode="#,##0_);[Red]\(#,##0\)" sourceLinked="1"/>
        <c:majorTickMark val="none"/>
        <c:minorTickMark val="none"/>
        <c:tickLblPos val="nextTo"/>
        <c:txPr>
          <a:bodyPr/>
          <a:lstStyle/>
          <a:p>
            <a:pPr>
              <a:defRPr lang="es-CO"/>
            </a:pPr>
            <a:endParaRPr lang="es-CO"/>
          </a:p>
        </c:txPr>
        <c:crossAx val="587354864"/>
        <c:crosses val="autoZero"/>
        <c:auto val="1"/>
        <c:lblAlgn val="ctr"/>
        <c:lblOffset val="100"/>
        <c:noMultiLvlLbl val="0"/>
      </c:catAx>
      <c:valAx>
        <c:axId val="587354864"/>
        <c:scaling>
          <c:orientation val="minMax"/>
        </c:scaling>
        <c:delete val="0"/>
        <c:axPos val="l"/>
        <c:majorGridlines>
          <c:spPr>
            <a:ln>
              <a:solidFill>
                <a:schemeClr val="bg1">
                  <a:lumMod val="85000"/>
                </a:schemeClr>
              </a:solidFill>
            </a:ln>
          </c:spPr>
        </c:majorGridlines>
        <c:numFmt formatCode="0.00%" sourceLinked="1"/>
        <c:majorTickMark val="none"/>
        <c:minorTickMark val="none"/>
        <c:tickLblPos val="nextTo"/>
        <c:txPr>
          <a:bodyPr/>
          <a:lstStyle/>
          <a:p>
            <a:pPr>
              <a:defRPr lang="es-CO"/>
            </a:pPr>
            <a:endParaRPr lang="es-CO"/>
          </a:p>
        </c:txPr>
        <c:crossAx val="587354304"/>
        <c:crosses val="autoZero"/>
        <c:crossBetween val="between"/>
      </c:valAx>
      <c:dTable>
        <c:showHorzBorder val="1"/>
        <c:showVertBorder val="1"/>
        <c:showOutline val="1"/>
        <c:showKeys val="1"/>
        <c:txPr>
          <a:bodyPr/>
          <a:lstStyle/>
          <a:p>
            <a:pPr rtl="0">
              <a:defRPr lang="es-CO"/>
            </a:pPr>
            <a:endParaRPr lang="es-CO"/>
          </a:p>
        </c:txPr>
      </c:dTable>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lineChart>
        <c:grouping val="standard"/>
        <c:varyColors val="0"/>
        <c:ser>
          <c:idx val="0"/>
          <c:order val="0"/>
          <c:tx>
            <c:strRef>
              <c:f>'Comparación de indicadores'!$A$16:$B$16</c:f>
              <c:strCache>
                <c:ptCount val="2"/>
                <c:pt idx="0">
                  <c:v>Crecimiento del Patrimonio</c:v>
                </c:pt>
                <c:pt idx="1">
                  <c:v>Sector </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indicadores'!$E$16:$I$16</c:f>
              <c:numCache>
                <c:formatCode>0.00%</c:formatCode>
                <c:ptCount val="5"/>
                <c:pt idx="0">
                  <c:v>-6.4733717869742913E-2</c:v>
                </c:pt>
                <c:pt idx="1">
                  <c:v>0.21408534193957873</c:v>
                </c:pt>
                <c:pt idx="2">
                  <c:v>6.3174117821122922E-2</c:v>
                </c:pt>
                <c:pt idx="3">
                  <c:v>0.12003274969905986</c:v>
                </c:pt>
                <c:pt idx="4">
                  <c:v>6.2607725669099334E-3</c:v>
                </c:pt>
              </c:numCache>
            </c:numRef>
          </c:val>
          <c:smooth val="1"/>
        </c:ser>
        <c:ser>
          <c:idx val="1"/>
          <c:order val="1"/>
          <c:tx>
            <c:strRef>
              <c:f>'Comparación de indicadores'!$A$17:$B$17</c:f>
              <c:strCache>
                <c:ptCount val="2"/>
                <c:pt idx="0">
                  <c:v>Crecimiento del Patrimonio</c:v>
                </c:pt>
                <c:pt idx="1">
                  <c:v>AC Nielsen de Colombia Ltda</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indicadores'!$E$17:$I$17</c:f>
              <c:numCache>
                <c:formatCode>0.00%</c:formatCode>
                <c:ptCount val="5"/>
                <c:pt idx="0">
                  <c:v>-0.14115384477373272</c:v>
                </c:pt>
                <c:pt idx="1">
                  <c:v>7.3455779652537467E-2</c:v>
                </c:pt>
                <c:pt idx="2">
                  <c:v>-0.55275149501159104</c:v>
                </c:pt>
                <c:pt idx="3">
                  <c:v>-3.8287324067673212E-2</c:v>
                </c:pt>
                <c:pt idx="4">
                  <c:v>3.9064938953391692E-2</c:v>
                </c:pt>
              </c:numCache>
            </c:numRef>
          </c:val>
          <c:smooth val="1"/>
        </c:ser>
        <c:dLbls>
          <c:showLegendKey val="0"/>
          <c:showVal val="0"/>
          <c:showCatName val="0"/>
          <c:showSerName val="0"/>
          <c:showPercent val="0"/>
          <c:showBubbleSize val="0"/>
        </c:dLbls>
        <c:smooth val="0"/>
        <c:axId val="587358784"/>
        <c:axId val="587359344"/>
      </c:lineChart>
      <c:catAx>
        <c:axId val="587358784"/>
        <c:scaling>
          <c:orientation val="minMax"/>
        </c:scaling>
        <c:delete val="0"/>
        <c:axPos val="b"/>
        <c:numFmt formatCode="#,##0_);[Red]\(#,##0\)" sourceLinked="1"/>
        <c:majorTickMark val="none"/>
        <c:minorTickMark val="none"/>
        <c:tickLblPos val="nextTo"/>
        <c:txPr>
          <a:bodyPr/>
          <a:lstStyle/>
          <a:p>
            <a:pPr>
              <a:defRPr lang="es-CO"/>
            </a:pPr>
            <a:endParaRPr lang="es-CO"/>
          </a:p>
        </c:txPr>
        <c:crossAx val="587359344"/>
        <c:crosses val="autoZero"/>
        <c:auto val="1"/>
        <c:lblAlgn val="ctr"/>
        <c:lblOffset val="100"/>
        <c:noMultiLvlLbl val="0"/>
      </c:catAx>
      <c:valAx>
        <c:axId val="587359344"/>
        <c:scaling>
          <c:orientation val="minMax"/>
        </c:scaling>
        <c:delete val="0"/>
        <c:axPos val="l"/>
        <c:majorGridlines>
          <c:spPr>
            <a:ln>
              <a:solidFill>
                <a:schemeClr val="bg1">
                  <a:lumMod val="85000"/>
                </a:schemeClr>
              </a:solidFill>
            </a:ln>
          </c:spPr>
        </c:majorGridlines>
        <c:numFmt formatCode="0.00%" sourceLinked="1"/>
        <c:majorTickMark val="none"/>
        <c:minorTickMark val="none"/>
        <c:tickLblPos val="nextTo"/>
        <c:txPr>
          <a:bodyPr/>
          <a:lstStyle/>
          <a:p>
            <a:pPr>
              <a:defRPr lang="es-CO"/>
            </a:pPr>
            <a:endParaRPr lang="es-CO"/>
          </a:p>
        </c:txPr>
        <c:crossAx val="587358784"/>
        <c:crosses val="autoZero"/>
        <c:crossBetween val="between"/>
      </c:valAx>
      <c:dTable>
        <c:showHorzBorder val="1"/>
        <c:showVertBorder val="1"/>
        <c:showOutline val="1"/>
        <c:showKeys val="1"/>
        <c:txPr>
          <a:bodyPr/>
          <a:lstStyle/>
          <a:p>
            <a:pPr rtl="0">
              <a:defRPr lang="es-CO"/>
            </a:pPr>
            <a:endParaRPr lang="es-CO"/>
          </a:p>
        </c:txPr>
      </c:dTable>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lineChart>
        <c:grouping val="standard"/>
        <c:varyColors val="0"/>
        <c:ser>
          <c:idx val="0"/>
          <c:order val="0"/>
          <c:tx>
            <c:strRef>
              <c:f>'Comparación de indicadores'!$A$25:$B$25</c:f>
              <c:strCache>
                <c:ptCount val="2"/>
                <c:pt idx="0">
                  <c:v>Rentabilidad Operacional</c:v>
                </c:pt>
                <c:pt idx="1">
                  <c:v>Sector </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indicadores'!$E$25:$I$25</c:f>
              <c:numCache>
                <c:formatCode>0.00%</c:formatCode>
                <c:ptCount val="5"/>
                <c:pt idx="0">
                  <c:v>9.2617056268455469E-2</c:v>
                </c:pt>
                <c:pt idx="1">
                  <c:v>5.4217981122161321E-2</c:v>
                </c:pt>
                <c:pt idx="2">
                  <c:v>5.6418604768027431E-2</c:v>
                </c:pt>
                <c:pt idx="3">
                  <c:v>5.4372816327785761E-2</c:v>
                </c:pt>
                <c:pt idx="4">
                  <c:v>5.3087320588990898E-2</c:v>
                </c:pt>
              </c:numCache>
            </c:numRef>
          </c:val>
          <c:smooth val="1"/>
        </c:ser>
        <c:ser>
          <c:idx val="1"/>
          <c:order val="1"/>
          <c:tx>
            <c:strRef>
              <c:f>'Comparación de indicadores'!$A$26:$B$26</c:f>
              <c:strCache>
                <c:ptCount val="2"/>
                <c:pt idx="0">
                  <c:v>Rentabilidad Operacional</c:v>
                </c:pt>
                <c:pt idx="1">
                  <c:v>AC Nielsen de Colombia Ltda</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indicadores'!$E$26:$I$26</c:f>
              <c:numCache>
                <c:formatCode>0.00%</c:formatCode>
                <c:ptCount val="5"/>
                <c:pt idx="0">
                  <c:v>0.27607153850349037</c:v>
                </c:pt>
                <c:pt idx="1">
                  <c:v>0.21425059007036079</c:v>
                </c:pt>
                <c:pt idx="2">
                  <c:v>0.23872939577133079</c:v>
                </c:pt>
                <c:pt idx="3">
                  <c:v>0.18193886720064456</c:v>
                </c:pt>
                <c:pt idx="4">
                  <c:v>0.12914504693081905</c:v>
                </c:pt>
              </c:numCache>
            </c:numRef>
          </c:val>
          <c:smooth val="1"/>
        </c:ser>
        <c:dLbls>
          <c:showLegendKey val="0"/>
          <c:showVal val="0"/>
          <c:showCatName val="0"/>
          <c:showSerName val="0"/>
          <c:showPercent val="0"/>
          <c:showBubbleSize val="0"/>
        </c:dLbls>
        <c:smooth val="0"/>
        <c:axId val="587363264"/>
        <c:axId val="587363824"/>
      </c:lineChart>
      <c:catAx>
        <c:axId val="587363264"/>
        <c:scaling>
          <c:orientation val="minMax"/>
        </c:scaling>
        <c:delete val="0"/>
        <c:axPos val="b"/>
        <c:numFmt formatCode="#,##0_);[Red]\(#,##0\)" sourceLinked="1"/>
        <c:majorTickMark val="none"/>
        <c:minorTickMark val="none"/>
        <c:tickLblPos val="nextTo"/>
        <c:txPr>
          <a:bodyPr/>
          <a:lstStyle/>
          <a:p>
            <a:pPr>
              <a:defRPr lang="es-CO"/>
            </a:pPr>
            <a:endParaRPr lang="es-CO"/>
          </a:p>
        </c:txPr>
        <c:crossAx val="587363824"/>
        <c:crosses val="autoZero"/>
        <c:auto val="1"/>
        <c:lblAlgn val="ctr"/>
        <c:lblOffset val="100"/>
        <c:noMultiLvlLbl val="0"/>
      </c:catAx>
      <c:valAx>
        <c:axId val="587363824"/>
        <c:scaling>
          <c:orientation val="minMax"/>
        </c:scaling>
        <c:delete val="0"/>
        <c:axPos val="l"/>
        <c:majorGridlines>
          <c:spPr>
            <a:ln>
              <a:solidFill>
                <a:schemeClr val="bg1">
                  <a:lumMod val="85000"/>
                </a:schemeClr>
              </a:solidFill>
            </a:ln>
          </c:spPr>
        </c:majorGridlines>
        <c:numFmt formatCode="0.00%" sourceLinked="1"/>
        <c:majorTickMark val="none"/>
        <c:minorTickMark val="none"/>
        <c:tickLblPos val="nextTo"/>
        <c:txPr>
          <a:bodyPr/>
          <a:lstStyle/>
          <a:p>
            <a:pPr>
              <a:defRPr lang="es-CO"/>
            </a:pPr>
            <a:endParaRPr lang="es-CO"/>
          </a:p>
        </c:txPr>
        <c:crossAx val="587363264"/>
        <c:crosses val="autoZero"/>
        <c:crossBetween val="between"/>
      </c:valAx>
      <c:dTable>
        <c:showHorzBorder val="1"/>
        <c:showVertBorder val="1"/>
        <c:showOutline val="1"/>
        <c:showKeys val="1"/>
        <c:txPr>
          <a:bodyPr/>
          <a:lstStyle/>
          <a:p>
            <a:pPr rtl="0">
              <a:defRPr lang="es-CO"/>
            </a:pPr>
            <a:endParaRPr lang="es-CO"/>
          </a:p>
        </c:txPr>
      </c:dTable>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lineChart>
        <c:grouping val="standard"/>
        <c:varyColors val="0"/>
        <c:ser>
          <c:idx val="0"/>
          <c:order val="0"/>
          <c:tx>
            <c:strRef>
              <c:f>'Comparación de indicadores'!$A$27:$B$27</c:f>
              <c:strCache>
                <c:ptCount val="2"/>
                <c:pt idx="0">
                  <c:v>Rentabilidad Neta</c:v>
                </c:pt>
                <c:pt idx="1">
                  <c:v>Sector </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indicadores'!$E$27:$I$27</c:f>
              <c:numCache>
                <c:formatCode>0.00%</c:formatCode>
                <c:ptCount val="5"/>
                <c:pt idx="0">
                  <c:v>5.3472431599659108E-2</c:v>
                </c:pt>
                <c:pt idx="1">
                  <c:v>4.4939125810068439E-2</c:v>
                </c:pt>
                <c:pt idx="2">
                  <c:v>3.8840526611409486E-2</c:v>
                </c:pt>
                <c:pt idx="3">
                  <c:v>4.5674531429052076E-2</c:v>
                </c:pt>
                <c:pt idx="4">
                  <c:v>2.9160153219363501E-2</c:v>
                </c:pt>
              </c:numCache>
            </c:numRef>
          </c:val>
          <c:smooth val="1"/>
        </c:ser>
        <c:ser>
          <c:idx val="1"/>
          <c:order val="1"/>
          <c:tx>
            <c:strRef>
              <c:f>'Comparación de indicadores'!$A$28:$B$28</c:f>
              <c:strCache>
                <c:ptCount val="2"/>
                <c:pt idx="0">
                  <c:v>Rentabilidad Neta</c:v>
                </c:pt>
                <c:pt idx="1">
                  <c:v>AC Nielsen de Colombia Ltda</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indicadores'!$E$28:$I$28</c:f>
              <c:numCache>
                <c:formatCode>0.00%</c:formatCode>
                <c:ptCount val="5"/>
                <c:pt idx="0">
                  <c:v>0.21200182687205088</c:v>
                </c:pt>
                <c:pt idx="1">
                  <c:v>0.19688905404532139</c:v>
                </c:pt>
                <c:pt idx="2">
                  <c:v>0.16251877279901547</c:v>
                </c:pt>
                <c:pt idx="3">
                  <c:v>0.1388247346350828</c:v>
                </c:pt>
                <c:pt idx="4">
                  <c:v>0.15027600035428931</c:v>
                </c:pt>
              </c:numCache>
            </c:numRef>
          </c:val>
          <c:smooth val="1"/>
        </c:ser>
        <c:dLbls>
          <c:showLegendKey val="0"/>
          <c:showVal val="0"/>
          <c:showCatName val="0"/>
          <c:showSerName val="0"/>
          <c:showPercent val="0"/>
          <c:showBubbleSize val="0"/>
        </c:dLbls>
        <c:smooth val="0"/>
        <c:axId val="587367744"/>
        <c:axId val="587368304"/>
      </c:lineChart>
      <c:catAx>
        <c:axId val="587367744"/>
        <c:scaling>
          <c:orientation val="minMax"/>
        </c:scaling>
        <c:delete val="0"/>
        <c:axPos val="b"/>
        <c:numFmt formatCode="#,##0_);[Red]\(#,##0\)" sourceLinked="1"/>
        <c:majorTickMark val="none"/>
        <c:minorTickMark val="none"/>
        <c:tickLblPos val="nextTo"/>
        <c:txPr>
          <a:bodyPr/>
          <a:lstStyle/>
          <a:p>
            <a:pPr>
              <a:defRPr lang="es-CO"/>
            </a:pPr>
            <a:endParaRPr lang="es-CO"/>
          </a:p>
        </c:txPr>
        <c:crossAx val="587368304"/>
        <c:crosses val="autoZero"/>
        <c:auto val="1"/>
        <c:lblAlgn val="ctr"/>
        <c:lblOffset val="100"/>
        <c:noMultiLvlLbl val="0"/>
      </c:catAx>
      <c:valAx>
        <c:axId val="587368304"/>
        <c:scaling>
          <c:orientation val="minMax"/>
        </c:scaling>
        <c:delete val="0"/>
        <c:axPos val="l"/>
        <c:majorGridlines>
          <c:spPr>
            <a:ln>
              <a:solidFill>
                <a:schemeClr val="bg1">
                  <a:lumMod val="85000"/>
                </a:schemeClr>
              </a:solidFill>
            </a:ln>
          </c:spPr>
        </c:majorGridlines>
        <c:numFmt formatCode="0.00%" sourceLinked="1"/>
        <c:majorTickMark val="none"/>
        <c:minorTickMark val="none"/>
        <c:tickLblPos val="nextTo"/>
        <c:txPr>
          <a:bodyPr/>
          <a:lstStyle/>
          <a:p>
            <a:pPr>
              <a:defRPr lang="es-CO"/>
            </a:pPr>
            <a:endParaRPr lang="es-CO"/>
          </a:p>
        </c:txPr>
        <c:crossAx val="587367744"/>
        <c:crosses val="autoZero"/>
        <c:crossBetween val="between"/>
      </c:valAx>
      <c:dTable>
        <c:showHorzBorder val="1"/>
        <c:showVertBorder val="1"/>
        <c:showOutline val="1"/>
        <c:showKeys val="1"/>
        <c:txPr>
          <a:bodyPr/>
          <a:lstStyle/>
          <a:p>
            <a:pPr rtl="0">
              <a:defRPr lang="es-CO"/>
            </a:pPr>
            <a:endParaRPr lang="es-CO"/>
          </a:p>
        </c:txPr>
      </c:dTable>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lineChart>
        <c:grouping val="standard"/>
        <c:varyColors val="0"/>
        <c:ser>
          <c:idx val="0"/>
          <c:order val="0"/>
          <c:tx>
            <c:strRef>
              <c:f>'Comparación de indicadores'!$A$6:$B$6</c:f>
              <c:strCache>
                <c:ptCount val="2"/>
                <c:pt idx="0">
                  <c:v>Crecimiento en Ventas</c:v>
                </c:pt>
                <c:pt idx="1">
                  <c:v>Sector </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indicadores'!$E$6:$I$6</c:f>
              <c:numCache>
                <c:formatCode>0.00%</c:formatCode>
                <c:ptCount val="5"/>
                <c:pt idx="0">
                  <c:v>5.9025249602951524E-2</c:v>
                </c:pt>
                <c:pt idx="1">
                  <c:v>0.13599289636818979</c:v>
                </c:pt>
                <c:pt idx="2">
                  <c:v>0.11941338835853821</c:v>
                </c:pt>
                <c:pt idx="3">
                  <c:v>1.019723144583784E-2</c:v>
                </c:pt>
                <c:pt idx="4">
                  <c:v>5.7926611429124364E-2</c:v>
                </c:pt>
              </c:numCache>
            </c:numRef>
          </c:val>
          <c:smooth val="1"/>
        </c:ser>
        <c:ser>
          <c:idx val="1"/>
          <c:order val="1"/>
          <c:tx>
            <c:strRef>
              <c:f>'Comparación de indicadores'!$A$7:$B$7</c:f>
              <c:strCache>
                <c:ptCount val="2"/>
                <c:pt idx="0">
                  <c:v>Crecimiento en Ventas</c:v>
                </c:pt>
                <c:pt idx="1">
                  <c:v>AC Nielsen de Colombia Ltda</c:v>
                </c:pt>
              </c:strCache>
            </c:strRef>
          </c:tx>
          <c:marker>
            <c:symbol val="none"/>
          </c:marker>
          <c:cat>
            <c:numRef>
              <c:f>'Comparación de indicadores'!$E$3:$I$3</c:f>
              <c:numCache>
                <c:formatCode>#,##0_);[Red]\(#,##0\)</c:formatCode>
                <c:ptCount val="5"/>
                <c:pt idx="0">
                  <c:v>2010</c:v>
                </c:pt>
                <c:pt idx="1">
                  <c:v>2011</c:v>
                </c:pt>
                <c:pt idx="2">
                  <c:v>2012</c:v>
                </c:pt>
                <c:pt idx="3">
                  <c:v>2013</c:v>
                </c:pt>
                <c:pt idx="4">
                  <c:v>2014</c:v>
                </c:pt>
              </c:numCache>
            </c:numRef>
          </c:cat>
          <c:val>
            <c:numRef>
              <c:f>'Comparación de indicadores'!$E$7:$I$7</c:f>
              <c:numCache>
                <c:formatCode>0.00%</c:formatCode>
                <c:ptCount val="5"/>
                <c:pt idx="0">
                  <c:v>7.3481234700476961E-2</c:v>
                </c:pt>
                <c:pt idx="1">
                  <c:v>6.2832968648075749E-2</c:v>
                </c:pt>
                <c:pt idx="2">
                  <c:v>1.517982540302687E-2</c:v>
                </c:pt>
                <c:pt idx="3">
                  <c:v>7.7529672729522936E-2</c:v>
                </c:pt>
                <c:pt idx="4">
                  <c:v>2.157201062713332E-3</c:v>
                </c:pt>
              </c:numCache>
            </c:numRef>
          </c:val>
          <c:smooth val="1"/>
        </c:ser>
        <c:dLbls>
          <c:showLegendKey val="0"/>
          <c:showVal val="0"/>
          <c:showCatName val="0"/>
          <c:showSerName val="0"/>
          <c:showPercent val="0"/>
          <c:showBubbleSize val="0"/>
        </c:dLbls>
        <c:smooth val="0"/>
        <c:axId val="587372224"/>
        <c:axId val="587372784"/>
      </c:lineChart>
      <c:catAx>
        <c:axId val="587372224"/>
        <c:scaling>
          <c:orientation val="minMax"/>
        </c:scaling>
        <c:delete val="0"/>
        <c:axPos val="b"/>
        <c:numFmt formatCode="#,##0_);[Red]\(#,##0\)" sourceLinked="1"/>
        <c:majorTickMark val="none"/>
        <c:minorTickMark val="none"/>
        <c:tickLblPos val="nextTo"/>
        <c:txPr>
          <a:bodyPr/>
          <a:lstStyle/>
          <a:p>
            <a:pPr>
              <a:defRPr lang="es-CO"/>
            </a:pPr>
            <a:endParaRPr lang="es-CO"/>
          </a:p>
        </c:txPr>
        <c:crossAx val="587372784"/>
        <c:crosses val="autoZero"/>
        <c:auto val="1"/>
        <c:lblAlgn val="ctr"/>
        <c:lblOffset val="100"/>
        <c:noMultiLvlLbl val="0"/>
      </c:catAx>
      <c:valAx>
        <c:axId val="587372784"/>
        <c:scaling>
          <c:orientation val="minMax"/>
        </c:scaling>
        <c:delete val="0"/>
        <c:axPos val="l"/>
        <c:majorGridlines>
          <c:spPr>
            <a:ln>
              <a:solidFill>
                <a:schemeClr val="bg1">
                  <a:lumMod val="85000"/>
                </a:schemeClr>
              </a:solidFill>
            </a:ln>
          </c:spPr>
        </c:majorGridlines>
        <c:numFmt formatCode="0.00%" sourceLinked="1"/>
        <c:majorTickMark val="none"/>
        <c:minorTickMark val="none"/>
        <c:tickLblPos val="nextTo"/>
        <c:txPr>
          <a:bodyPr/>
          <a:lstStyle/>
          <a:p>
            <a:pPr>
              <a:defRPr lang="es-CO"/>
            </a:pPr>
            <a:endParaRPr lang="es-CO"/>
          </a:p>
        </c:txPr>
        <c:crossAx val="587372224"/>
        <c:crosses val="autoZero"/>
        <c:crossBetween val="between"/>
      </c:valAx>
      <c:dTable>
        <c:showHorzBorder val="1"/>
        <c:showVertBorder val="1"/>
        <c:showOutline val="1"/>
        <c:showKeys val="1"/>
        <c:txPr>
          <a:bodyPr/>
          <a:lstStyle/>
          <a:p>
            <a:pPr rtl="0">
              <a:defRPr lang="es-CO"/>
            </a:pPr>
            <a:endParaRPr lang="es-CO"/>
          </a:p>
        </c:txPr>
      </c:dTable>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lang="es-CO"/>
            </a:pPr>
            <a:r>
              <a:rPr lang="es-CO"/>
              <a:t>Composición</a:t>
            </a:r>
            <a:r>
              <a:rPr lang="es-CO" baseline="0"/>
              <a:t> del Pasivo</a:t>
            </a:r>
            <a:endParaRPr lang="es-CO"/>
          </a:p>
        </c:rich>
      </c:tx>
      <c:overlay val="0"/>
    </c:title>
    <c:autoTitleDeleted val="0"/>
    <c:plotArea>
      <c:layout>
        <c:manualLayout>
          <c:layoutTarget val="inner"/>
          <c:xMode val="edge"/>
          <c:yMode val="edge"/>
          <c:x val="2.4528159470262278E-2"/>
          <c:y val="0.24084897679362174"/>
          <c:w val="0.56629200761669563"/>
          <c:h val="0.67034994157690064"/>
        </c:manualLayout>
      </c:layout>
      <c:pieChart>
        <c:varyColors val="1"/>
        <c:ser>
          <c:idx val="0"/>
          <c:order val="0"/>
          <c:dLbls>
            <c:dLbl>
              <c:idx val="0"/>
              <c:layout>
                <c:manualLayout>
                  <c:x val="1.745064873916385E-3"/>
                  <c:y val="-0.3494503402051386"/>
                </c:manualLayout>
              </c:layout>
              <c:showLegendKey val="0"/>
              <c:showVal val="0"/>
              <c:showCatName val="0"/>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spPr>
              <a:noFill/>
              <a:ln>
                <a:noFill/>
              </a:ln>
              <a:effectLst/>
            </c:spPr>
            <c:showLegendKey val="0"/>
            <c:showVal val="0"/>
            <c:showCatName val="0"/>
            <c:showSerName val="0"/>
            <c:showPercent val="1"/>
            <c:showBubbleSize val="0"/>
            <c:showLeaderLines val="0"/>
            <c:extLst>
              <c:ext xmlns:c15="http://schemas.microsoft.com/office/drawing/2012/chart" uri="{CE6537A1-D6FC-4f65-9D91-7224C49458BB}"/>
            </c:extLst>
          </c:dLbls>
          <c:cat>
            <c:strRef>
              <c:f>'Gráficas 2013'!$A$112:$A$113</c:f>
              <c:strCache>
                <c:ptCount val="2"/>
                <c:pt idx="0">
                  <c:v>TOTAL ACTIVO CORRIENTE  </c:v>
                </c:pt>
                <c:pt idx="1">
                  <c:v>TOTAL ACTIVO NO CORRIENTE </c:v>
                </c:pt>
              </c:strCache>
            </c:strRef>
          </c:cat>
          <c:val>
            <c:numRef>
              <c:f>'Gráficas 2013'!$E$130:$E$131</c:f>
              <c:numCache>
                <c:formatCode>0.00%</c:formatCode>
                <c:ptCount val="2"/>
                <c:pt idx="0">
                  <c:v>1</c:v>
                </c:pt>
                <c:pt idx="1">
                  <c:v>0</c:v>
                </c:pt>
              </c:numCache>
            </c:numRef>
          </c:val>
        </c:ser>
        <c:dLbls>
          <c:showLegendKey val="0"/>
          <c:showVal val="0"/>
          <c:showCatName val="0"/>
          <c:showSerName val="0"/>
          <c:showPercent val="1"/>
          <c:showBubbleSize val="0"/>
          <c:showLeaderLines val="0"/>
        </c:dLbls>
        <c:firstSliceAng val="0"/>
      </c:pieChart>
    </c:plotArea>
    <c:legend>
      <c:legendPos val="r"/>
      <c:overlay val="0"/>
      <c:txPr>
        <a:bodyPr/>
        <a:lstStyle/>
        <a:p>
          <a:pPr>
            <a:defRPr lang="es-CO"/>
          </a:pPr>
          <a:endParaRPr lang="es-CO"/>
        </a:p>
      </c:txPr>
    </c:legend>
    <c:plotVisOnly val="1"/>
    <c:dispBlanksAs val="zero"/>
    <c:showDLblsOverMax val="0"/>
  </c:chart>
  <c:printSettings>
    <c:headerFooter/>
    <c:pageMargins b="0.75000000000000211" l="0.70000000000000062" r="0.70000000000000062" t="0.75000000000000211"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Composición del Activo 2014</a:t>
            </a:r>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dLbls>
            <c:spPr>
              <a:noFill/>
              <a:ln>
                <a:noFill/>
              </a:ln>
              <a:effectLst/>
            </c:spPr>
            <c:txPr>
              <a:bodyPr/>
              <a:lstStyle/>
              <a:p>
                <a:pPr>
                  <a:defRPr b="1"/>
                </a:pPr>
                <a:endParaRPr lang="es-CO"/>
              </a:p>
            </c:txPr>
            <c:showLegendKey val="0"/>
            <c:showVal val="0"/>
            <c:showCatName val="0"/>
            <c:showSerName val="0"/>
            <c:showPercent val="1"/>
            <c:showBubbleSize val="0"/>
            <c:showLeaderLines val="1"/>
            <c:extLst>
              <c:ext xmlns:c15="http://schemas.microsoft.com/office/drawing/2012/chart" uri="{CE6537A1-D6FC-4f65-9D91-7224C49458BB}"/>
            </c:extLst>
          </c:dLbls>
          <c:cat>
            <c:strRef>
              <c:f>'Gráficas 2014'!$A$6:$A$7</c:f>
              <c:strCache>
                <c:ptCount val="2"/>
                <c:pt idx="0">
                  <c:v>TOTAL ACTIVO CORRIENTE  </c:v>
                </c:pt>
                <c:pt idx="1">
                  <c:v>TOTAL ACTIVO NO CORRIENTE </c:v>
                </c:pt>
              </c:strCache>
            </c:strRef>
          </c:cat>
          <c:val>
            <c:numRef>
              <c:f>'Gráficas 2014'!$E$6:$E$7</c:f>
              <c:numCache>
                <c:formatCode>0.00%</c:formatCode>
                <c:ptCount val="2"/>
                <c:pt idx="0">
                  <c:v>0.92090122444717004</c:v>
                </c:pt>
                <c:pt idx="1">
                  <c:v>7.9098775552829945E-2</c:v>
                </c:pt>
              </c:numCache>
            </c:numRef>
          </c:val>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CO" sz="1600" b="1" i="0" u="none" strike="noStrike" baseline="0">
                <a:solidFill>
                  <a:srgbClr val="000000"/>
                </a:solidFill>
                <a:latin typeface="Calibri"/>
                <a:ea typeface="Calibri"/>
                <a:cs typeface="Calibri"/>
              </a:defRPr>
            </a:pPr>
            <a:r>
              <a:rPr lang="es-CO" sz="1600"/>
              <a:t>Ventas </a:t>
            </a:r>
            <a:r>
              <a:rPr lang="es-CO" sz="1100"/>
              <a:t>Vs</a:t>
            </a:r>
            <a:r>
              <a:rPr lang="es-CO" sz="1600"/>
              <a:t>. Capital de Trabajo Neto Operativo </a:t>
            </a:r>
          </a:p>
        </c:rich>
      </c:tx>
      <c:layout/>
      <c:overlay val="0"/>
    </c:title>
    <c:autoTitleDeleted val="0"/>
    <c:plotArea>
      <c:layout>
        <c:manualLayout>
          <c:layoutTarget val="inner"/>
          <c:xMode val="edge"/>
          <c:yMode val="edge"/>
          <c:x val="0.17963100626758938"/>
          <c:y val="0.22105957689730221"/>
          <c:w val="0.78425953114046953"/>
          <c:h val="0.48335346532196444"/>
        </c:manualLayout>
      </c:layout>
      <c:lineChart>
        <c:grouping val="standard"/>
        <c:varyColors val="0"/>
        <c:ser>
          <c:idx val="1"/>
          <c:order val="0"/>
          <c:tx>
            <c:strRef>
              <c:f>'Estados Financieros'!$A$70</c:f>
              <c:strCache>
                <c:ptCount val="1"/>
                <c:pt idx="0">
                  <c:v>Capital de Trabajo Neto Operativo </c:v>
                </c:pt>
              </c:strCache>
            </c:strRef>
          </c:tx>
          <c:cat>
            <c:numRef>
              <c:f>'Estados Financieros'!$E$5:$I$5</c:f>
              <c:numCache>
                <c:formatCode>General</c:formatCode>
                <c:ptCount val="5"/>
                <c:pt idx="0">
                  <c:v>2010</c:v>
                </c:pt>
                <c:pt idx="1">
                  <c:v>2011</c:v>
                </c:pt>
                <c:pt idx="2">
                  <c:v>2012</c:v>
                </c:pt>
                <c:pt idx="3">
                  <c:v>2013</c:v>
                </c:pt>
                <c:pt idx="4">
                  <c:v>2014</c:v>
                </c:pt>
              </c:numCache>
            </c:numRef>
          </c:cat>
          <c:val>
            <c:numRef>
              <c:f>'Estados Financieros'!$B$70:$I$70</c:f>
              <c:numCache>
                <c:formatCode>#,##0</c:formatCode>
                <c:ptCount val="8"/>
                <c:pt idx="0">
                  <c:v>53240.987000000001</c:v>
                </c:pt>
                <c:pt idx="1">
                  <c:v>70315.945000000007</c:v>
                </c:pt>
                <c:pt idx="2">
                  <c:v>25749.103999999999</c:v>
                </c:pt>
                <c:pt idx="3">
                  <c:v>17054.235000000001</c:v>
                </c:pt>
                <c:pt idx="4">
                  <c:v>16866.837</c:v>
                </c:pt>
                <c:pt idx="5">
                  <c:v>31269.832999999999</c:v>
                </c:pt>
                <c:pt idx="6">
                  <c:v>27016</c:v>
                </c:pt>
                <c:pt idx="7">
                  <c:v>27479.209000000003</c:v>
                </c:pt>
              </c:numCache>
            </c:numRef>
          </c:val>
          <c:smooth val="1"/>
        </c:ser>
        <c:ser>
          <c:idx val="0"/>
          <c:order val="1"/>
          <c:tx>
            <c:strRef>
              <c:f>'Estados Financieros'!$A$65</c:f>
              <c:strCache>
                <c:ptCount val="1"/>
                <c:pt idx="0">
                  <c:v>Ventas</c:v>
                </c:pt>
              </c:strCache>
            </c:strRef>
          </c:tx>
          <c:cat>
            <c:numRef>
              <c:f>'Estados Financieros'!$E$5:$I$5</c:f>
              <c:numCache>
                <c:formatCode>General</c:formatCode>
                <c:ptCount val="5"/>
                <c:pt idx="0">
                  <c:v>2010</c:v>
                </c:pt>
                <c:pt idx="1">
                  <c:v>2011</c:v>
                </c:pt>
                <c:pt idx="2">
                  <c:v>2012</c:v>
                </c:pt>
                <c:pt idx="3">
                  <c:v>2013</c:v>
                </c:pt>
                <c:pt idx="4">
                  <c:v>2014</c:v>
                </c:pt>
              </c:numCache>
            </c:numRef>
          </c:cat>
          <c:val>
            <c:numRef>
              <c:f>'Estados Financieros'!$B$65:$I$65</c:f>
              <c:numCache>
                <c:formatCode>#,##0</c:formatCode>
                <c:ptCount val="8"/>
                <c:pt idx="0">
                  <c:v>68245.282000000007</c:v>
                </c:pt>
                <c:pt idx="1">
                  <c:v>76021.293999999994</c:v>
                </c:pt>
                <c:pt idx="2">
                  <c:v>79887.293999999994</c:v>
                </c:pt>
                <c:pt idx="3">
                  <c:v>85757.510999999999</c:v>
                </c:pt>
                <c:pt idx="4">
                  <c:v>91145.91</c:v>
                </c:pt>
                <c:pt idx="5">
                  <c:v>92529.489000000001</c:v>
                </c:pt>
                <c:pt idx="6">
                  <c:v>99703.27</c:v>
                </c:pt>
                <c:pt idx="7">
                  <c:v>99918.35</c:v>
                </c:pt>
              </c:numCache>
            </c:numRef>
          </c:val>
          <c:smooth val="1"/>
        </c:ser>
        <c:dLbls>
          <c:showLegendKey val="0"/>
          <c:showVal val="0"/>
          <c:showCatName val="0"/>
          <c:showSerName val="0"/>
          <c:showPercent val="0"/>
          <c:showBubbleSize val="0"/>
        </c:dLbls>
        <c:marker val="1"/>
        <c:smooth val="0"/>
        <c:axId val="493652736"/>
        <c:axId val="493653296"/>
      </c:lineChart>
      <c:catAx>
        <c:axId val="493652736"/>
        <c:scaling>
          <c:orientation val="minMax"/>
        </c:scaling>
        <c:delete val="0"/>
        <c:axPos val="b"/>
        <c:numFmt formatCode="General" sourceLinked="1"/>
        <c:majorTickMark val="none"/>
        <c:minorTickMark val="none"/>
        <c:tickLblPos val="nextTo"/>
        <c:txPr>
          <a:bodyPr rot="0" vert="horz"/>
          <a:lstStyle/>
          <a:p>
            <a:pPr>
              <a:defRPr lang="es-CO" sz="1000" b="0" i="0" u="none" strike="noStrike" baseline="0">
                <a:solidFill>
                  <a:srgbClr val="000000"/>
                </a:solidFill>
                <a:latin typeface="Calibri"/>
                <a:ea typeface="Calibri"/>
                <a:cs typeface="Calibri"/>
              </a:defRPr>
            </a:pPr>
            <a:endParaRPr lang="es-CO"/>
          </a:p>
        </c:txPr>
        <c:crossAx val="493653296"/>
        <c:crosses val="autoZero"/>
        <c:auto val="1"/>
        <c:lblAlgn val="ctr"/>
        <c:lblOffset val="100"/>
        <c:noMultiLvlLbl val="0"/>
      </c:catAx>
      <c:valAx>
        <c:axId val="493653296"/>
        <c:scaling>
          <c:orientation val="minMax"/>
        </c:scaling>
        <c:delete val="0"/>
        <c:axPos val="l"/>
        <c:majorGridlines>
          <c:spPr>
            <a:ln>
              <a:solidFill>
                <a:schemeClr val="bg1">
                  <a:lumMod val="85000"/>
                </a:schemeClr>
              </a:solidFill>
            </a:ln>
          </c:spPr>
        </c:majorGridlines>
        <c:numFmt formatCode="#,##0" sourceLinked="1"/>
        <c:majorTickMark val="none"/>
        <c:minorTickMark val="none"/>
        <c:tickLblPos val="nextTo"/>
        <c:spPr>
          <a:ln w="9525">
            <a:noFill/>
          </a:ln>
        </c:spPr>
        <c:txPr>
          <a:bodyPr rot="0" vert="horz"/>
          <a:lstStyle/>
          <a:p>
            <a:pPr>
              <a:defRPr lang="es-CO" sz="1000" b="0" i="0" u="none" strike="noStrike" baseline="0">
                <a:solidFill>
                  <a:srgbClr val="000000"/>
                </a:solidFill>
                <a:latin typeface="Calibri"/>
                <a:ea typeface="Calibri"/>
                <a:cs typeface="Calibri"/>
              </a:defRPr>
            </a:pPr>
            <a:endParaRPr lang="es-CO"/>
          </a:p>
        </c:txPr>
        <c:crossAx val="493652736"/>
        <c:crosses val="autoZero"/>
        <c:crossBetween val="between"/>
      </c:valAx>
    </c:plotArea>
    <c:legend>
      <c:legendPos val="b"/>
      <c:layout>
        <c:manualLayout>
          <c:xMode val="edge"/>
          <c:yMode val="edge"/>
          <c:x val="0.13061648183722768"/>
          <c:y val="0.83602495263468135"/>
          <c:w val="0.75189749151673713"/>
          <c:h val="8.5170722021361972E-2"/>
        </c:manualLayout>
      </c:layout>
      <c:overlay val="0"/>
      <c:txPr>
        <a:bodyPr/>
        <a:lstStyle/>
        <a:p>
          <a:pPr>
            <a:defRPr lang="es-CO" sz="845" b="0" i="0" u="none" strike="noStrike" baseline="0">
              <a:solidFill>
                <a:srgbClr val="000000"/>
              </a:solidFill>
              <a:latin typeface="Calibri"/>
              <a:ea typeface="Calibri"/>
              <a:cs typeface="Calibri"/>
            </a:defRPr>
          </a:pPr>
          <a:endParaRPr lang="es-CO"/>
        </a:p>
      </c:txPr>
    </c:legend>
    <c:plotVisOnly val="1"/>
    <c:dispBlanksAs val="zero"/>
    <c:showDLblsOverMax val="0"/>
  </c:chart>
  <c:spPr>
    <a:no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44" l="0.70000000000000062" r="0.70000000000000062" t="0.75000000000000544" header="0.30000000000000032" footer="0.30000000000000032"/>
    <c:pageSetup/>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Activos 2014</a:t>
            </a:r>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dLbls>
            <c:spPr>
              <a:noFill/>
              <a:ln>
                <a:noFill/>
              </a:ln>
              <a:effectLst/>
            </c:spPr>
            <c:txPr>
              <a:bodyPr/>
              <a:lstStyle/>
              <a:p>
                <a:pPr>
                  <a:defRPr b="1"/>
                </a:pPr>
                <a:endParaRPr lang="es-CO"/>
              </a:p>
            </c:txPr>
            <c:showLegendKey val="0"/>
            <c:showVal val="0"/>
            <c:showCatName val="0"/>
            <c:showSerName val="0"/>
            <c:showPercent val="1"/>
            <c:showBubbleSize val="0"/>
            <c:showLeaderLines val="1"/>
            <c:extLst>
              <c:ext xmlns:c15="http://schemas.microsoft.com/office/drawing/2012/chart" uri="{CE6537A1-D6FC-4f65-9D91-7224C49458BB}"/>
            </c:extLst>
          </c:dLbls>
          <c:cat>
            <c:strRef>
              <c:f>'Gráficas 2014'!$A$22:$A$27</c:f>
              <c:strCache>
                <c:ptCount val="6"/>
                <c:pt idx="0">
                  <c:v>11 SUBTOTAL DISPONIBLE</c:v>
                </c:pt>
                <c:pt idx="1">
                  <c:v>13 SUBTOTAL DEUDORES (CP)</c:v>
                </c:pt>
                <c:pt idx="2">
                  <c:v>17 SUBTOTAL DIFERIDO (CP)</c:v>
                </c:pt>
                <c:pt idx="3">
                  <c:v>13 SUBTOTAL  DEUDORES A LARGO PLAZO </c:v>
                </c:pt>
                <c:pt idx="4">
                  <c:v>15 PROPIEDADES PLANTA Y EQUIPO(ANEXO 9) </c:v>
                </c:pt>
                <c:pt idx="5">
                  <c:v>17 SUBTOTAL  DIFERIDOS </c:v>
                </c:pt>
              </c:strCache>
            </c:strRef>
          </c:cat>
          <c:val>
            <c:numRef>
              <c:f>'Gráficas 2014'!$E$22:$E$27</c:f>
              <c:numCache>
                <c:formatCode>0.00%</c:formatCode>
                <c:ptCount val="6"/>
                <c:pt idx="0">
                  <c:v>7.7392076938144982E-2</c:v>
                </c:pt>
                <c:pt idx="1">
                  <c:v>0.81232068781766675</c:v>
                </c:pt>
                <c:pt idx="2">
                  <c:v>3.1188459691358288E-2</c:v>
                </c:pt>
                <c:pt idx="3">
                  <c:v>2.5393719326377091E-2</c:v>
                </c:pt>
                <c:pt idx="4">
                  <c:v>3.3516295184098356E-2</c:v>
                </c:pt>
                <c:pt idx="5">
                  <c:v>8.165218794879199E-3</c:v>
                </c:pt>
              </c:numCache>
            </c:numRef>
          </c:val>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Disponible</a:t>
            </a:r>
            <a:r>
              <a:rPr lang="es-CO" baseline="0"/>
              <a:t> 2014</a:t>
            </a:r>
            <a:endParaRPr lang="es-CO"/>
          </a:p>
        </c:rich>
      </c:tx>
      <c:layout/>
      <c:overlay val="0"/>
    </c:title>
    <c:autoTitleDeleted val="0"/>
    <c:view3D>
      <c:rotX val="30"/>
      <c:rotY val="0"/>
      <c:rAngAx val="0"/>
    </c:view3D>
    <c:floor>
      <c:thickness val="0"/>
    </c:floor>
    <c:sideWall>
      <c:thickness val="0"/>
    </c:sideWall>
    <c:backWall>
      <c:thickness val="0"/>
    </c:backWall>
    <c:plotArea>
      <c:layout/>
      <c:pie3DChart>
        <c:varyColors val="1"/>
        <c:ser>
          <c:idx val="0"/>
          <c:order val="0"/>
          <c:dLbls>
            <c:dLbl>
              <c:idx val="0"/>
              <c:layout>
                <c:manualLayout>
                  <c:x val="0.14481517935258092"/>
                  <c:y val="-7.4522155318820463E-2"/>
                </c:manualLayout>
              </c:layou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1676421697287839"/>
                  <c:y val="-0.25477981918926801"/>
                </c:manualLayout>
              </c:layou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9.0390419947506573E-2"/>
                  <c:y val="-7.4606299212598599E-3"/>
                </c:manualLayout>
              </c:layou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4.4209755030621176E-2"/>
                  <c:y val="-5.1904002195803975E-2"/>
                </c:manualLayout>
              </c:layout>
              <c:showLegendKey val="0"/>
              <c:showVal val="0"/>
              <c:showCatName val="0"/>
              <c:showSerName val="0"/>
              <c:showPercent val="1"/>
              <c:showBubbleSize val="0"/>
              <c:extLst>
                <c:ext xmlns:c15="http://schemas.microsoft.com/office/drawing/2012/chart" uri="{CE6537A1-D6FC-4f65-9D91-7224C49458BB}">
                  <c15:layout/>
                </c:ext>
              </c:extLst>
            </c:dLbl>
            <c:numFmt formatCode="0.0%" sourceLinked="0"/>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'Gráficas 2014'!$A$40:$A$43</c:f>
              <c:strCache>
                <c:ptCount val="4"/>
                <c:pt idx="0">
                  <c:v>1105 CAJA </c:v>
                </c:pt>
                <c:pt idx="1">
                  <c:v>1120 CUENTAS DE AHORRO </c:v>
                </c:pt>
                <c:pt idx="2">
                  <c:v>BANCOS</c:v>
                </c:pt>
                <c:pt idx="3">
                  <c:v>1125 FONDOS </c:v>
                </c:pt>
              </c:strCache>
            </c:strRef>
          </c:cat>
          <c:val>
            <c:numRef>
              <c:f>'Gráficas 2014'!$E$40:$E$43</c:f>
              <c:numCache>
                <c:formatCode>0.00%</c:formatCode>
                <c:ptCount val="4"/>
                <c:pt idx="0">
                  <c:v>3.1262406312531983E-3</c:v>
                </c:pt>
                <c:pt idx="1">
                  <c:v>0.89541232494380252</c:v>
                </c:pt>
                <c:pt idx="2">
                  <c:v>0.10067957401351674</c:v>
                </c:pt>
                <c:pt idx="3">
                  <c:v>7.8186041142751911E-4</c:v>
                </c:pt>
              </c:numCache>
            </c:numRef>
          </c:val>
        </c:ser>
        <c:dLbls>
          <c:showLegendKey val="0"/>
          <c:showVal val="0"/>
          <c:showCatName val="0"/>
          <c:showSerName val="0"/>
          <c:showPercent val="1"/>
          <c:showBubbleSize val="0"/>
          <c:showLeaderLines val="1"/>
        </c:dLbls>
      </c:pie3DChart>
    </c:plotArea>
    <c:legend>
      <c:legendPos val="r"/>
      <c:layout/>
      <c:overlay val="0"/>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CO"/>
              <a:t>Cartera 2014</a:t>
            </a:r>
          </a:p>
        </c:rich>
      </c:tx>
      <c:layout/>
      <c:overlay val="0"/>
    </c:title>
    <c:autoTitleDeleted val="0"/>
    <c:view3D>
      <c:rotX val="30"/>
      <c:rotY val="0"/>
      <c:rAngAx val="0"/>
    </c:view3D>
    <c:floor>
      <c:thickness val="0"/>
    </c:floor>
    <c:sideWall>
      <c:thickness val="0"/>
    </c:sideWall>
    <c:backWall>
      <c:thickness val="0"/>
    </c:backWall>
    <c:plotArea>
      <c:layout>
        <c:manualLayout>
          <c:layoutTarget val="inner"/>
          <c:xMode val="edge"/>
          <c:yMode val="edge"/>
          <c:x val="1.8829833770778653E-2"/>
          <c:y val="0.17842155147273281"/>
          <c:w val="0.60528543307086713"/>
          <c:h val="0.76804133858267876"/>
        </c:manualLayout>
      </c:layout>
      <c:pie3DChart>
        <c:varyColors val="1"/>
        <c:ser>
          <c:idx val="0"/>
          <c:order val="0"/>
          <c:dLbls>
            <c:dLbl>
              <c:idx val="2"/>
              <c:numFmt formatCode="0.00%" sourceLinked="0"/>
              <c:spPr/>
              <c:txPr>
                <a:bodyPr/>
                <a:lstStyle/>
                <a:p>
                  <a:pPr>
                    <a:defRPr b="0"/>
                  </a:pPr>
                  <a:endParaRPr lang="es-CO"/>
                </a:p>
              </c:txPr>
              <c:showLegendKey val="0"/>
              <c:showVal val="0"/>
              <c:showCatName val="0"/>
              <c:showSerName val="0"/>
              <c:showPercent val="1"/>
              <c:showBubbleSize val="0"/>
            </c:dLbl>
            <c:dLbl>
              <c:idx val="4"/>
              <c:numFmt formatCode="0.00%" sourceLinked="0"/>
              <c:spPr/>
              <c:txPr>
                <a:bodyPr/>
                <a:lstStyle/>
                <a:p>
                  <a:pPr>
                    <a:defRPr b="0"/>
                  </a:pPr>
                  <a:endParaRPr lang="es-CO"/>
                </a:p>
              </c:txPr>
              <c:showLegendKey val="0"/>
              <c:showVal val="0"/>
              <c:showCatName val="0"/>
              <c:showSerName val="0"/>
              <c:showPercent val="1"/>
              <c:showBubbleSize val="0"/>
            </c:dLbl>
            <c:dLbl>
              <c:idx val="7"/>
              <c:layout>
                <c:manualLayout>
                  <c:x val="3.8723912583259919E-2"/>
                  <c:y val="-8.0069267255894847E-2"/>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a:lstStyle/>
              <a:p>
                <a:pPr>
                  <a:defRPr b="0"/>
                </a:pPr>
                <a:endParaRPr lang="es-CO"/>
              </a:p>
            </c:tx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'Gráficas 2014'!$A$55:$A$62</c:f>
              <c:strCache>
                <c:ptCount val="8"/>
                <c:pt idx="0">
                  <c:v>1305 CLIENTES</c:v>
                </c:pt>
                <c:pt idx="1">
                  <c:v>1310 CUENTAS CORRIENTES COMERCIALES (CP)</c:v>
                </c:pt>
                <c:pt idx="2">
                  <c:v>1330 ANTICIPOS Y AVANCES (CP)</c:v>
                </c:pt>
                <c:pt idx="3">
                  <c:v>1355 ANTICIPO DE IMPTOS. Y CONTRIB.O SALDOS A FAVOR (CP)</c:v>
                </c:pt>
                <c:pt idx="4">
                  <c:v>1365 CUENTAS POR COBRAR A TRABAJADORES (CP)</c:v>
                </c:pt>
                <c:pt idx="5">
                  <c:v>1380 DEUDORES VARIOS (CP)</c:v>
                </c:pt>
                <c:pt idx="6">
                  <c:v>1390 DEUDAS DE DIFÍCIL COBRO (CP)</c:v>
                </c:pt>
                <c:pt idx="7">
                  <c:v>1399 PROVISIONES  (CP)</c:v>
                </c:pt>
              </c:strCache>
            </c:strRef>
          </c:cat>
          <c:val>
            <c:numRef>
              <c:f>'Gráficas 2014'!$E$55:$E$62</c:f>
              <c:numCache>
                <c:formatCode>0.00%</c:formatCode>
                <c:ptCount val="8"/>
                <c:pt idx="0">
                  <c:v>0.36400755401990037</c:v>
                </c:pt>
                <c:pt idx="1">
                  <c:v>0.52558930598141429</c:v>
                </c:pt>
                <c:pt idx="2">
                  <c:v>1.7207847809943221E-3</c:v>
                </c:pt>
                <c:pt idx="3">
                  <c:v>0</c:v>
                </c:pt>
                <c:pt idx="4">
                  <c:v>1.3928582371504046E-3</c:v>
                </c:pt>
                <c:pt idx="5">
                  <c:v>0.10706151346624575</c:v>
                </c:pt>
                <c:pt idx="6">
                  <c:v>0</c:v>
                </c:pt>
                <c:pt idx="7">
                  <c:v>0</c:v>
                </c:pt>
              </c:numCache>
            </c:numRef>
          </c:val>
        </c:ser>
        <c:dLbls>
          <c:showLegendKey val="0"/>
          <c:showVal val="0"/>
          <c:showCatName val="0"/>
          <c:showSerName val="0"/>
          <c:showPercent val="1"/>
          <c:showBubbleSize val="0"/>
          <c:showLeaderLines val="1"/>
        </c:dLbls>
      </c:pie3DChart>
    </c:plotArea>
    <c:legend>
      <c:legendPos val="r"/>
      <c:layout/>
      <c:overlay val="0"/>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Composición</a:t>
            </a:r>
            <a:r>
              <a:rPr lang="es-CO" baseline="0"/>
              <a:t> del Pasivo 2014</a:t>
            </a:r>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dLbls>
            <c:numFmt formatCode="0.0%" sourceLinked="0"/>
            <c:spPr>
              <a:noFill/>
              <a:ln>
                <a:noFill/>
              </a:ln>
              <a:effectLst/>
            </c:spPr>
            <c:txPr>
              <a:bodyPr/>
              <a:lstStyle/>
              <a:p>
                <a:pPr>
                  <a:defRPr b="1"/>
                </a:pPr>
                <a:endParaRPr lang="es-CO"/>
              </a:p>
            </c:txPr>
            <c:showLegendKey val="0"/>
            <c:showVal val="0"/>
            <c:showCatName val="0"/>
            <c:showSerName val="0"/>
            <c:showPercent val="1"/>
            <c:showBubbleSize val="0"/>
            <c:showLeaderLines val="1"/>
            <c:extLst>
              <c:ext xmlns:c15="http://schemas.microsoft.com/office/drawing/2012/chart" uri="{CE6537A1-D6FC-4f65-9D91-7224C49458BB}"/>
            </c:extLst>
          </c:dLbls>
          <c:cat>
            <c:strRef>
              <c:f>'Gráficas 2014'!$A$72:$A$73</c:f>
              <c:strCache>
                <c:ptCount val="2"/>
                <c:pt idx="0">
                  <c:v>TOTAL PASIVO CORRIENTE </c:v>
                </c:pt>
                <c:pt idx="1">
                  <c:v>TOTAL PASIVO NO CORRIENTE </c:v>
                </c:pt>
              </c:strCache>
            </c:strRef>
          </c:cat>
          <c:val>
            <c:numRef>
              <c:f>'Gráficas 2014'!$E$72:$E$73</c:f>
              <c:numCache>
                <c:formatCode>0.0%</c:formatCode>
                <c:ptCount val="2"/>
                <c:pt idx="0">
                  <c:v>1</c:v>
                </c:pt>
                <c:pt idx="1">
                  <c:v>0</c:v>
                </c:pt>
              </c:numCache>
            </c:numRef>
          </c:val>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Pasivos</a:t>
            </a:r>
            <a:r>
              <a:rPr lang="es-CO" baseline="0"/>
              <a:t> 2014</a:t>
            </a:r>
            <a:endParaRPr lang="es-CO"/>
          </a:p>
        </c:rich>
      </c:tx>
      <c:overlay val="0"/>
    </c:title>
    <c:autoTitleDeleted val="0"/>
    <c:view3D>
      <c:rotX val="30"/>
      <c:rotY val="0"/>
      <c:rAngAx val="0"/>
    </c:view3D>
    <c:floor>
      <c:thickness val="0"/>
    </c:floor>
    <c:sideWall>
      <c:thickness val="0"/>
    </c:sideWall>
    <c:backWall>
      <c:thickness val="0"/>
    </c:backWall>
    <c:plotArea>
      <c:layout>
        <c:manualLayout>
          <c:layoutTarget val="inner"/>
          <c:xMode val="edge"/>
          <c:yMode val="edge"/>
          <c:x val="2.8993000874890641E-2"/>
          <c:y val="0.19231044036162176"/>
          <c:w val="0.56979177602799747"/>
          <c:h val="0.74026356080489941"/>
        </c:manualLayout>
      </c:layout>
      <c:pie3DChart>
        <c:varyColors val="1"/>
        <c:ser>
          <c:idx val="0"/>
          <c:order val="0"/>
          <c:dLbls>
            <c:spPr>
              <a:noFill/>
              <a:ln>
                <a:noFill/>
              </a:ln>
              <a:effectLst/>
            </c:spPr>
            <c:txPr>
              <a:bodyPr/>
              <a:lstStyle/>
              <a:p>
                <a:pPr>
                  <a:defRPr b="1"/>
                </a:pPr>
                <a:endParaRPr lang="es-CO"/>
              </a:p>
            </c:txPr>
            <c:showLegendKey val="0"/>
            <c:showVal val="0"/>
            <c:showCatName val="0"/>
            <c:showSerName val="0"/>
            <c:showPercent val="1"/>
            <c:showBubbleSize val="0"/>
            <c:showLeaderLines val="1"/>
            <c:extLst>
              <c:ext xmlns:c15="http://schemas.microsoft.com/office/drawing/2012/chart" uri="{CE6537A1-D6FC-4f65-9D91-7224C49458BB}"/>
            </c:extLst>
          </c:dLbls>
          <c:cat>
            <c:strRef>
              <c:f>'Gráficas 2014'!$A$83:$A$89</c:f>
              <c:strCache>
                <c:ptCount val="7"/>
                <c:pt idx="0">
                  <c:v>22 PROVEEDORES (ANEXO 10)  (CP)</c:v>
                </c:pt>
                <c:pt idx="1">
                  <c:v>23 SUBTOTAL CUENTAS POR PAGAR (CP)</c:v>
                </c:pt>
                <c:pt idx="2">
                  <c:v>24 IMPUESTOS GRAVÁMENES Y TASAS (CP)</c:v>
                </c:pt>
                <c:pt idx="3">
                  <c:v>25 OBLIGACIONES LABORALES (CP)</c:v>
                </c:pt>
                <c:pt idx="4">
                  <c:v>26 SUBTOTAL PASIVOS ESTIMAD. Y PROVIS. (CP)</c:v>
                </c:pt>
                <c:pt idx="5">
                  <c:v>27 DIFERIDOS (CP)</c:v>
                </c:pt>
                <c:pt idx="6">
                  <c:v>24 IMPUESTOS GRAVÁMENES Y TASAS (LP)</c:v>
                </c:pt>
              </c:strCache>
            </c:strRef>
          </c:cat>
          <c:val>
            <c:numRef>
              <c:f>'Gráficas 2014'!$E$83:$E$89</c:f>
              <c:numCache>
                <c:formatCode>0.0%</c:formatCode>
                <c:ptCount val="7"/>
                <c:pt idx="0">
                  <c:v>4.7272422755019992E-2</c:v>
                </c:pt>
                <c:pt idx="1">
                  <c:v>0.7088239241750578</c:v>
                </c:pt>
                <c:pt idx="2">
                  <c:v>7.6250773774615727E-2</c:v>
                </c:pt>
                <c:pt idx="3">
                  <c:v>6.2082763134136167E-2</c:v>
                </c:pt>
                <c:pt idx="4">
                  <c:v>9.6745929767151392E-2</c:v>
                </c:pt>
                <c:pt idx="5">
                  <c:v>1.4312490239204065E-2</c:v>
                </c:pt>
                <c:pt idx="6">
                  <c:v>0</c:v>
                </c:pt>
              </c:numCache>
            </c:numRef>
          </c:val>
        </c:ser>
        <c:dLbls>
          <c:showLegendKey val="0"/>
          <c:showVal val="0"/>
          <c:showCatName val="0"/>
          <c:showSerName val="0"/>
          <c:showPercent val="1"/>
          <c:showBubbleSize val="0"/>
          <c:showLeaderLines val="1"/>
        </c:dLbls>
      </c:pie3DChart>
    </c:plotArea>
    <c:legend>
      <c:legendPos val="r"/>
      <c:layout>
        <c:manualLayout>
          <c:xMode val="edge"/>
          <c:yMode val="edge"/>
          <c:x val="0.62347070018309692"/>
          <c:y val="0.20318279569892472"/>
          <c:w val="0.3627835953495514"/>
          <c:h val="0.75266649733299462"/>
        </c:manualLayout>
      </c:layout>
      <c:overlay val="0"/>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Composición</a:t>
            </a:r>
            <a:r>
              <a:rPr lang="es-CO" baseline="0"/>
              <a:t> del Patrimonio 2014</a:t>
            </a:r>
            <a:endParaRPr lang="es-CO"/>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'Gráficas 2014'!$A$101:$A$104</c:f>
              <c:strCache>
                <c:ptCount val="4"/>
                <c:pt idx="0">
                  <c:v>31 SUBTOTAL  CAPITAL SOCIAL </c:v>
                </c:pt>
                <c:pt idx="1">
                  <c:v>33 RESERVAS (ANEXO 11)  </c:v>
                </c:pt>
                <c:pt idx="2">
                  <c:v>34 REVALORIZACIÓN DEL PATRIMONIO  </c:v>
                </c:pt>
                <c:pt idx="3">
                  <c:v>36 RESULTADOS DEL EJERCICIO </c:v>
                </c:pt>
              </c:strCache>
            </c:strRef>
          </c:cat>
          <c:val>
            <c:numRef>
              <c:f>'Gráficas 2014'!$E$101:$E$104</c:f>
              <c:numCache>
                <c:formatCode>0.0%</c:formatCode>
                <c:ptCount val="4"/>
                <c:pt idx="0">
                  <c:v>0.24652472158439598</c:v>
                </c:pt>
                <c:pt idx="1">
                  <c:v>0.13477965295513727</c:v>
                </c:pt>
                <c:pt idx="2">
                  <c:v>0.13794727049404684</c:v>
                </c:pt>
                <c:pt idx="3">
                  <c:v>0.48074835496641988</c:v>
                </c:pt>
              </c:numCache>
            </c:numRef>
          </c:val>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INGRESOS</a:t>
            </a:r>
            <a:r>
              <a:rPr lang="en-US" baseline="0"/>
              <a:t> OPERACIONALES</a:t>
            </a:r>
            <a:endParaRPr lang="en-US"/>
          </a:p>
        </c:rich>
      </c:tx>
      <c:layout/>
      <c:overlay val="0"/>
    </c:title>
    <c:autoTitleDeleted val="0"/>
    <c:plotArea>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'Proyección Ventas'!$B$3:$E$3</c:f>
              <c:numCache>
                <c:formatCode>General</c:formatCode>
                <c:ptCount val="4"/>
                <c:pt idx="0">
                  <c:v>2011</c:v>
                </c:pt>
                <c:pt idx="1">
                  <c:v>2012</c:v>
                </c:pt>
                <c:pt idx="2">
                  <c:v>2013</c:v>
                </c:pt>
                <c:pt idx="3">
                  <c:v>2014</c:v>
                </c:pt>
              </c:numCache>
            </c:numRef>
          </c:cat>
          <c:val>
            <c:numRef>
              <c:f>'Proyección Ventas'!$B$5:$E$5</c:f>
              <c:numCache>
                <c:formatCode>_ "$"\ * #,##0_ ;_ "$"\ * \-#,##0_ ;_ "$"\ * "-"??_ ;_ @_ </c:formatCode>
                <c:ptCount val="4"/>
                <c:pt idx="0">
                  <c:v>91145.91</c:v>
                </c:pt>
                <c:pt idx="1">
                  <c:v>92529.489000000001</c:v>
                </c:pt>
                <c:pt idx="2">
                  <c:v>99703.27</c:v>
                </c:pt>
                <c:pt idx="3">
                  <c:v>99918.35</c:v>
                </c:pt>
              </c:numCache>
            </c:numRef>
          </c:val>
        </c:ser>
        <c:dLbls>
          <c:showLegendKey val="0"/>
          <c:showVal val="0"/>
          <c:showCatName val="0"/>
          <c:showSerName val="0"/>
          <c:showPercent val="0"/>
          <c:showBubbleSize val="0"/>
        </c:dLbls>
        <c:gapWidth val="150"/>
        <c:axId val="565942448"/>
        <c:axId val="565943008"/>
      </c:barChart>
      <c:catAx>
        <c:axId val="565942448"/>
        <c:scaling>
          <c:orientation val="minMax"/>
        </c:scaling>
        <c:delete val="0"/>
        <c:axPos val="b"/>
        <c:numFmt formatCode="General" sourceLinked="1"/>
        <c:majorTickMark val="none"/>
        <c:minorTickMark val="none"/>
        <c:tickLblPos val="nextTo"/>
        <c:crossAx val="565943008"/>
        <c:crosses val="autoZero"/>
        <c:auto val="1"/>
        <c:lblAlgn val="ctr"/>
        <c:lblOffset val="100"/>
        <c:noMultiLvlLbl val="0"/>
      </c:catAx>
      <c:valAx>
        <c:axId val="565943008"/>
        <c:scaling>
          <c:orientation val="minMax"/>
        </c:scaling>
        <c:delete val="0"/>
        <c:axPos val="l"/>
        <c:majorGridlines/>
        <c:numFmt formatCode="_ &quot;$&quot;\ * #,##0_ ;_ &quot;$&quot;\ * \-#,##0_ ;_ &quot;$&quot;\ * &quot;-&quot;??_ ;_ @_ " sourceLinked="1"/>
        <c:majorTickMark val="none"/>
        <c:minorTickMark val="none"/>
        <c:tickLblPos val="nextTo"/>
        <c:crossAx val="565942448"/>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PROYECCIÓN DE VENTAS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'Proyección Ventas'!$B$27</c:f>
              <c:strCache>
                <c:ptCount val="1"/>
                <c:pt idx="0">
                  <c:v>INGRESOS PROYECTADOS POR REGRESION LINEAL</c:v>
                </c:pt>
              </c:strCache>
            </c:strRef>
          </c:tx>
          <c:spPr>
            <a:ln w="28575" cap="rnd">
              <a:solidFill>
                <a:schemeClr val="accent1"/>
              </a:solidFill>
              <a:round/>
            </a:ln>
            <a:effectLst/>
          </c:spPr>
          <c:marker>
            <c:symbol val="none"/>
          </c:marker>
          <c:cat>
            <c:numRef>
              <c:f>'Proyección Ventas'!$C$25:$K$25</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'Proyección Ventas'!$C$27:$K$27</c:f>
              <c:numCache>
                <c:formatCode>_ "$"\ * #,##0_ ;_ "$"\ * \-#,##0_ ;_ "$"\ * "-"??_ ;_ @_ </c:formatCode>
                <c:ptCount val="9"/>
                <c:pt idx="0">
                  <c:v>108832.13416666724</c:v>
                </c:pt>
                <c:pt idx="1">
                  <c:v>113888.80800000206</c:v>
                </c:pt>
                <c:pt idx="2">
                  <c:v>118945.48183333501</c:v>
                </c:pt>
                <c:pt idx="3">
                  <c:v>124002.15566666797</c:v>
                </c:pt>
                <c:pt idx="4">
                  <c:v>129058.82950000092</c:v>
                </c:pt>
                <c:pt idx="5">
                  <c:v>134115.50333333388</c:v>
                </c:pt>
                <c:pt idx="6">
                  <c:v>139172.1771666687</c:v>
                </c:pt>
                <c:pt idx="7">
                  <c:v>144228.85100000165</c:v>
                </c:pt>
                <c:pt idx="8">
                  <c:v>149285.52483333461</c:v>
                </c:pt>
              </c:numCache>
            </c:numRef>
          </c:val>
          <c:smooth val="1"/>
        </c:ser>
        <c:ser>
          <c:idx val="1"/>
          <c:order val="1"/>
          <c:tx>
            <c:strRef>
              <c:f>'Proyección Ventas'!$B$28</c:f>
              <c:strCache>
                <c:ptCount val="1"/>
                <c:pt idx="0">
                  <c:v>INGRESOS PROYECTADOS POR INFLACION</c:v>
                </c:pt>
              </c:strCache>
            </c:strRef>
          </c:tx>
          <c:spPr>
            <a:ln w="28575" cap="rnd">
              <a:solidFill>
                <a:schemeClr val="accent2"/>
              </a:solidFill>
              <a:round/>
            </a:ln>
            <a:effectLst/>
          </c:spPr>
          <c:marker>
            <c:symbol val="none"/>
          </c:marker>
          <c:cat>
            <c:numRef>
              <c:f>'Proyección Ventas'!$C$25:$K$25</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'Proyección Ventas'!$C$28:$K$28</c:f>
              <c:numCache>
                <c:formatCode>_ "$"\ * #,##0_ ;_ "$"\ * \-#,##0_ ;_ "$"\ * "-"??_ ;_ @_ </c:formatCode>
                <c:ptCount val="9"/>
                <c:pt idx="0">
                  <c:v>106682.82229500002</c:v>
                </c:pt>
                <c:pt idx="1">
                  <c:v>113905.24936437153</c:v>
                </c:pt>
                <c:pt idx="2">
                  <c:v>121616.63474633949</c:v>
                </c:pt>
                <c:pt idx="3">
                  <c:v>129850.08091866669</c:v>
                </c:pt>
                <c:pt idx="4">
                  <c:v>138640.93139686043</c:v>
                </c:pt>
                <c:pt idx="5">
                  <c:v>148026.92245242788</c:v>
                </c:pt>
                <c:pt idx="6">
                  <c:v>158048.34510245727</c:v>
                </c:pt>
                <c:pt idx="7">
                  <c:v>168748.21806589366</c:v>
                </c:pt>
                <c:pt idx="8">
                  <c:v>180172.47242895467</c:v>
                </c:pt>
              </c:numCache>
            </c:numRef>
          </c:val>
          <c:smooth val="1"/>
        </c:ser>
        <c:ser>
          <c:idx val="2"/>
          <c:order val="2"/>
          <c:tx>
            <c:strRef>
              <c:f>'Proyección Ventas'!$B$29</c:f>
              <c:strCache>
                <c:ptCount val="1"/>
                <c:pt idx="0">
                  <c:v>INGRESOS PROYECTADO POR VOLUMEN </c:v>
                </c:pt>
              </c:strCache>
            </c:strRef>
          </c:tx>
          <c:spPr>
            <a:ln w="28575" cap="rnd">
              <a:solidFill>
                <a:schemeClr val="accent3"/>
              </a:solidFill>
              <a:round/>
            </a:ln>
            <a:effectLst/>
          </c:spPr>
          <c:marker>
            <c:symbol val="none"/>
          </c:marker>
          <c:cat>
            <c:numRef>
              <c:f>'Proyección Ventas'!$C$25:$K$25</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'Proyección Ventas'!$C$29:$K$29</c:f>
              <c:numCache>
                <c:formatCode>_ "$"\ * #,##0_ ;_ "$"\ * \-#,##0_ ;_ "$"\ * "-"??_ ;_ @_ </c:formatCode>
                <c:ptCount val="9"/>
                <c:pt idx="0">
                  <c:v>107911.81800000001</c:v>
                </c:pt>
                <c:pt idx="1">
                  <c:v>116544.76344000002</c:v>
                </c:pt>
                <c:pt idx="2">
                  <c:v>125868.34451520003</c:v>
                </c:pt>
                <c:pt idx="3">
                  <c:v>135937.81207641604</c:v>
                </c:pt>
                <c:pt idx="4">
                  <c:v>146812.83704252934</c:v>
                </c:pt>
                <c:pt idx="5">
                  <c:v>158557.86400593171</c:v>
                </c:pt>
                <c:pt idx="6">
                  <c:v>171242.49312640625</c:v>
                </c:pt>
                <c:pt idx="7">
                  <c:v>184941.89257651876</c:v>
                </c:pt>
                <c:pt idx="8">
                  <c:v>199737.24398264027</c:v>
                </c:pt>
              </c:numCache>
            </c:numRef>
          </c:val>
          <c:smooth val="1"/>
        </c:ser>
        <c:ser>
          <c:idx val="3"/>
          <c:order val="3"/>
          <c:tx>
            <c:strRef>
              <c:f>'Proyección Ventas'!$B$30</c:f>
              <c:strCache>
                <c:ptCount val="1"/>
                <c:pt idx="0">
                  <c:v>INGRESOS PROYECTADO CON INFLACION Y VOLUMEN</c:v>
                </c:pt>
              </c:strCache>
            </c:strRef>
          </c:tx>
          <c:spPr>
            <a:ln w="28575" cap="rnd">
              <a:solidFill>
                <a:schemeClr val="accent4"/>
              </a:solidFill>
              <a:round/>
            </a:ln>
            <a:effectLst/>
          </c:spPr>
          <c:marker>
            <c:symbol val="none"/>
          </c:marker>
          <c:cat>
            <c:numRef>
              <c:f>'Proyección Ventas'!$C$25:$K$25</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'Proyección Ventas'!$C$30:$K$30</c:f>
              <c:numCache>
                <c:formatCode>_ "$"\ * #,##0_ ;_ "$"\ * \-#,##0_ ;_ "$"\ * "-"??_ ;_ @_ </c:formatCode>
                <c:ptCount val="9"/>
                <c:pt idx="0">
                  <c:v>115217.44807860003</c:v>
                </c:pt>
                <c:pt idx="1">
                  <c:v>132859.08285860298</c:v>
                </c:pt>
                <c:pt idx="2">
                  <c:v>153201.93418958085</c:v>
                </c:pt>
                <c:pt idx="3">
                  <c:v>176659.60154495272</c:v>
                </c:pt>
                <c:pt idx="4">
                  <c:v>203709.01309510975</c:v>
                </c:pt>
                <c:pt idx="5">
                  <c:v>234900.12234418059</c:v>
                </c:pt>
                <c:pt idx="6">
                  <c:v>270867.08947703219</c:v>
                </c:pt>
                <c:pt idx="7">
                  <c:v>312341.1747493975</c:v>
                </c:pt>
                <c:pt idx="8">
                  <c:v>360165.60606232629</c:v>
                </c:pt>
              </c:numCache>
            </c:numRef>
          </c:val>
          <c:smooth val="1"/>
        </c:ser>
        <c:dLbls>
          <c:showLegendKey val="0"/>
          <c:showVal val="0"/>
          <c:showCatName val="0"/>
          <c:showSerName val="0"/>
          <c:showPercent val="0"/>
          <c:showBubbleSize val="0"/>
        </c:dLbls>
        <c:smooth val="0"/>
        <c:axId val="565946928"/>
        <c:axId val="565947488"/>
      </c:lineChart>
      <c:catAx>
        <c:axId val="56594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5947488"/>
        <c:crosses val="autoZero"/>
        <c:auto val="1"/>
        <c:lblAlgn val="ctr"/>
        <c:lblOffset val="100"/>
        <c:noMultiLvlLbl val="0"/>
      </c:catAx>
      <c:valAx>
        <c:axId val="565947488"/>
        <c:scaling>
          <c:orientation val="minMax"/>
        </c:scaling>
        <c:delete val="0"/>
        <c:axPos val="l"/>
        <c:majorGridlines>
          <c:spPr>
            <a:ln w="9525" cap="flat" cmpd="sng" algn="ctr">
              <a:solidFill>
                <a:schemeClr val="tx1">
                  <a:lumMod val="15000"/>
                  <a:lumOff val="85000"/>
                </a:schemeClr>
              </a:solidFill>
              <a:round/>
            </a:ln>
            <a:effectLst/>
          </c:spPr>
        </c:majorGridlines>
        <c:numFmt formatCode="_ &quot;$&quot;\ * #,##0_ ;_ &quot;$&quot;\ * \-#,##0_ ;_ &quot;$&quot;\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659469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Sensibilidad precio de la acción a cambios en Kd</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dLbls>
            <c:dLbl>
              <c:idx val="0"/>
              <c:layout>
                <c:manualLayout>
                  <c:x val="0"/>
                  <c:y val="4.6296296296296294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
                  <c:y val="5.0925925925925923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5555555555555558E-3"/>
                  <c:y val="4.1666666666666664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7777777777777779E-3"/>
                  <c:y val="2.7777777777777863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0185067526415994E-16"/>
                  <c:y val="2.7777777777777776E-2"/>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WACC!$E$19:$E$26</c:f>
              <c:numCache>
                <c:formatCode>0.00%</c:formatCode>
                <c:ptCount val="8"/>
                <c:pt idx="0">
                  <c:v>5.7860110783776571E-2</c:v>
                </c:pt>
                <c:pt idx="1">
                  <c:v>5.2860110783776573E-2</c:v>
                </c:pt>
                <c:pt idx="2">
                  <c:v>4.7860110783776576E-2</c:v>
                </c:pt>
                <c:pt idx="3">
                  <c:v>4.2860110783776578E-2</c:v>
                </c:pt>
                <c:pt idx="4">
                  <c:v>3.7860110783776581E-2</c:v>
                </c:pt>
                <c:pt idx="5">
                  <c:v>3.2860110783776583E-2</c:v>
                </c:pt>
                <c:pt idx="6">
                  <c:v>2.7860110783776582E-2</c:v>
                </c:pt>
                <c:pt idx="7">
                  <c:v>2.2860110783776581E-2</c:v>
                </c:pt>
              </c:numCache>
            </c:numRef>
          </c:cat>
          <c:val>
            <c:numRef>
              <c:f>WACC!$I$19:$I$25</c:f>
              <c:numCache>
                <c:formatCode>#,##0.000</c:formatCode>
                <c:ptCount val="7"/>
                <c:pt idx="0">
                  <c:v>18.106487686232011</c:v>
                </c:pt>
                <c:pt idx="1">
                  <c:v>19.092096579084142</c:v>
                </c:pt>
                <c:pt idx="2">
                  <c:v>21.416331129348038</c:v>
                </c:pt>
                <c:pt idx="3">
                  <c:v>26.169467026227931</c:v>
                </c:pt>
                <c:pt idx="4">
                  <c:v>37.047275766000091</c:v>
                </c:pt>
                <c:pt idx="5">
                  <c:v>76.249608697969265</c:v>
                </c:pt>
                <c:pt idx="6">
                  <c:v>-302.02733155084229</c:v>
                </c:pt>
              </c:numCache>
            </c:numRef>
          </c:val>
          <c:smooth val="1"/>
        </c:ser>
        <c:dLbls>
          <c:showLegendKey val="0"/>
          <c:showVal val="0"/>
          <c:showCatName val="0"/>
          <c:showSerName val="0"/>
          <c:showPercent val="0"/>
          <c:showBubbleSize val="0"/>
        </c:dLbls>
        <c:smooth val="0"/>
        <c:axId val="598855536"/>
        <c:axId val="598856096"/>
      </c:lineChart>
      <c:catAx>
        <c:axId val="598855536"/>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8856096"/>
        <c:crosses val="autoZero"/>
        <c:auto val="1"/>
        <c:lblAlgn val="ctr"/>
        <c:lblOffset val="100"/>
        <c:noMultiLvlLbl val="0"/>
      </c:catAx>
      <c:valAx>
        <c:axId val="598856096"/>
        <c:scaling>
          <c:orientation val="minMax"/>
        </c:scaling>
        <c:delete val="0"/>
        <c:axPos val="l"/>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8855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Sensibilidad precio de la acción a cambios en Ke</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dLbls>
            <c:dLbl>
              <c:idx val="0"/>
              <c:layout>
                <c:manualLayout>
                  <c:x val="-1.439010527296799E-2"/>
                  <c:y val="-3.486657788409412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2.878021054593595E-2"/>
                  <c:y val="-4.5845186986618214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7140645008141881E-2"/>
                  <c:y val="-4.8861139828619157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3.6954243572643965E-2"/>
                  <c:y val="-4.7141776329858227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5975263182419934E-2"/>
                  <c:y val="-4.0898483568095889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5.2164131614508912E-2"/>
                  <c:y val="-4.058140295145532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5.5761657932750903E-2"/>
                  <c:y val="-2.8094817427930525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7.0151763205718878E-2"/>
                  <c:y val="-4.3703049332336374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1.3190777452567232E-16"/>
                  <c:y val="-2.1851524666168187E-2"/>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WACC!$E$30:$E$38</c:f>
              <c:numCache>
                <c:formatCode>0.00%</c:formatCode>
                <c:ptCount val="9"/>
                <c:pt idx="0">
                  <c:v>0.15056780371999157</c:v>
                </c:pt>
                <c:pt idx="1">
                  <c:v>0.14556780371999156</c:v>
                </c:pt>
                <c:pt idx="2">
                  <c:v>0.14056780371999156</c:v>
                </c:pt>
                <c:pt idx="3">
                  <c:v>0.13556780371999155</c:v>
                </c:pt>
                <c:pt idx="4">
                  <c:v>0.13056780371999155</c:v>
                </c:pt>
                <c:pt idx="5">
                  <c:v>0.12556780371999154</c:v>
                </c:pt>
                <c:pt idx="6">
                  <c:v>0.12056780371999154</c:v>
                </c:pt>
                <c:pt idx="7">
                  <c:v>0.11556780371999154</c:v>
                </c:pt>
                <c:pt idx="8">
                  <c:v>0.11056780371999153</c:v>
                </c:pt>
              </c:numCache>
            </c:numRef>
          </c:cat>
          <c:val>
            <c:numRef>
              <c:f>WACC!$I$30:$I$38</c:f>
              <c:numCache>
                <c:formatCode>#,##0.00000</c:formatCode>
                <c:ptCount val="9"/>
                <c:pt idx="0">
                  <c:v>18.106487686232011</c:v>
                </c:pt>
                <c:pt idx="1">
                  <c:v>18.803180933088555</c:v>
                </c:pt>
                <c:pt idx="2">
                  <c:v>20.367010133067019</c:v>
                </c:pt>
                <c:pt idx="3">
                  <c:v>23.257397994944466</c:v>
                </c:pt>
                <c:pt idx="4">
                  <c:v>28.648711823902524</c:v>
                </c:pt>
                <c:pt idx="5">
                  <c:v>40.217573401595686</c:v>
                </c:pt>
                <c:pt idx="6">
                  <c:v>77.353461858034635</c:v>
                </c:pt>
                <c:pt idx="7">
                  <c:v>-1194.0112508586371</c:v>
                </c:pt>
                <c:pt idx="8" formatCode="General">
                  <c:v>-61.182083364282605</c:v>
                </c:pt>
              </c:numCache>
            </c:numRef>
          </c:val>
          <c:smooth val="1"/>
        </c:ser>
        <c:dLbls>
          <c:showLegendKey val="0"/>
          <c:showVal val="0"/>
          <c:showCatName val="0"/>
          <c:showSerName val="0"/>
          <c:showPercent val="0"/>
          <c:showBubbleSize val="0"/>
        </c:dLbls>
        <c:smooth val="0"/>
        <c:axId val="598858336"/>
        <c:axId val="598858896"/>
      </c:lineChart>
      <c:catAx>
        <c:axId val="598858336"/>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8858896"/>
        <c:crosses val="autoZero"/>
        <c:auto val="1"/>
        <c:lblAlgn val="ctr"/>
        <c:lblOffset val="100"/>
        <c:noMultiLvlLbl val="0"/>
      </c:catAx>
      <c:valAx>
        <c:axId val="598858896"/>
        <c:scaling>
          <c:orientation val="minMax"/>
          <c:max val="380"/>
        </c:scaling>
        <c:delete val="0"/>
        <c:axPos val="l"/>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8858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CO" sz="1800" b="1" i="0" u="none" strike="noStrike" baseline="0">
                <a:solidFill>
                  <a:srgbClr val="000000"/>
                </a:solidFill>
                <a:latin typeface="Calibri"/>
                <a:ea typeface="Calibri"/>
                <a:cs typeface="Calibri"/>
              </a:defRPr>
            </a:pPr>
            <a:r>
              <a:rPr lang="es-CO"/>
              <a:t>Analisis Dupont </a:t>
            </a:r>
          </a:p>
        </c:rich>
      </c:tx>
      <c:layout/>
      <c:overlay val="0"/>
    </c:title>
    <c:autoTitleDeleted val="0"/>
    <c:plotArea>
      <c:layout/>
      <c:lineChart>
        <c:grouping val="standard"/>
        <c:varyColors val="0"/>
        <c:ser>
          <c:idx val="0"/>
          <c:order val="0"/>
          <c:cat>
            <c:numRef>
              <c:f>'Estados Financieros'!$E$5:$I$5</c:f>
              <c:numCache>
                <c:formatCode>General</c:formatCode>
                <c:ptCount val="5"/>
                <c:pt idx="0">
                  <c:v>2010</c:v>
                </c:pt>
                <c:pt idx="1">
                  <c:v>2011</c:v>
                </c:pt>
                <c:pt idx="2">
                  <c:v>2012</c:v>
                </c:pt>
                <c:pt idx="3">
                  <c:v>2013</c:v>
                </c:pt>
                <c:pt idx="4">
                  <c:v>2014</c:v>
                </c:pt>
              </c:numCache>
            </c:numRef>
          </c:cat>
          <c:val>
            <c:numRef>
              <c:f>'Estados Financieros'!$B$96:$I$96</c:f>
              <c:numCache>
                <c:formatCode>0.0%</c:formatCode>
                <c:ptCount val="8"/>
                <c:pt idx="0">
                  <c:v>0.14471295187849026</c:v>
                </c:pt>
                <c:pt idx="1">
                  <c:v>0.18247766027239684</c:v>
                </c:pt>
                <c:pt idx="2">
                  <c:v>0.16996573635351822</c:v>
                </c:pt>
                <c:pt idx="3">
                  <c:v>0.18496793079733853</c:v>
                </c:pt>
                <c:pt idx="4">
                  <c:v>0.14354789534714171</c:v>
                </c:pt>
                <c:pt idx="5">
                  <c:v>0.15994869516679161</c:v>
                </c:pt>
                <c:pt idx="6">
                  <c:v>0.12189904102443183</c:v>
                </c:pt>
                <c:pt idx="7">
                  <c:v>8.6527181443648737E-2</c:v>
                </c:pt>
              </c:numCache>
            </c:numRef>
          </c:val>
          <c:smooth val="1"/>
        </c:ser>
        <c:ser>
          <c:idx val="3"/>
          <c:order val="2"/>
          <c:cat>
            <c:numRef>
              <c:f>'Estados Financieros'!$E$5:$I$5</c:f>
              <c:numCache>
                <c:formatCode>General</c:formatCode>
                <c:ptCount val="5"/>
                <c:pt idx="0">
                  <c:v>2010</c:v>
                </c:pt>
                <c:pt idx="1">
                  <c:v>2011</c:v>
                </c:pt>
                <c:pt idx="2">
                  <c:v>2012</c:v>
                </c:pt>
                <c:pt idx="3">
                  <c:v>2013</c:v>
                </c:pt>
                <c:pt idx="4">
                  <c:v>2014</c:v>
                </c:pt>
              </c:numCache>
            </c:numRef>
          </c:cat>
          <c:val>
            <c:numRef>
              <c:f>'Estados Financieros'!$B$106:$I$106</c:f>
              <c:numCache>
                <c:formatCode>0.00%</c:formatCode>
                <c:ptCount val="8"/>
                <c:pt idx="0">
                  <c:v>0.17116410345955616</c:v>
                </c:pt>
                <c:pt idx="1">
                  <c:v>0.18855857579417229</c:v>
                </c:pt>
                <c:pt idx="2">
                  <c:v>0.17912587905313757</c:v>
                </c:pt>
                <c:pt idx="3">
                  <c:v>0.24365339887533874</c:v>
                </c:pt>
                <c:pt idx="4">
                  <c:v>0.18722063940213957</c:v>
                </c:pt>
                <c:pt idx="5">
                  <c:v>0.47351274969168011</c:v>
                </c:pt>
                <c:pt idx="6">
                  <c:v>0.40432925247014218</c:v>
                </c:pt>
                <c:pt idx="7">
                  <c:v>0.27680924558194436</c:v>
                </c:pt>
              </c:numCache>
            </c:numRef>
          </c:val>
          <c:smooth val="1"/>
        </c:ser>
        <c:dLbls>
          <c:showLegendKey val="0"/>
          <c:showVal val="0"/>
          <c:showCatName val="0"/>
          <c:showSerName val="0"/>
          <c:showPercent val="0"/>
          <c:showBubbleSize val="0"/>
        </c:dLbls>
        <c:marker val="1"/>
        <c:smooth val="0"/>
        <c:axId val="398021392"/>
        <c:axId val="398019152"/>
      </c:lineChart>
      <c:lineChart>
        <c:grouping val="standard"/>
        <c:varyColors val="0"/>
        <c:ser>
          <c:idx val="1"/>
          <c:order val="1"/>
          <c:cat>
            <c:numRef>
              <c:f>[2]Indicadores!$B$4:$F$4</c:f>
              <c:numCache>
                <c:formatCode>General</c:formatCode>
                <c:ptCount val="5"/>
                <c:pt idx="0">
                  <c:v>2007</c:v>
                </c:pt>
                <c:pt idx="1">
                  <c:v>2008</c:v>
                </c:pt>
                <c:pt idx="2">
                  <c:v>2009</c:v>
                </c:pt>
                <c:pt idx="3">
                  <c:v>2010</c:v>
                </c:pt>
                <c:pt idx="4">
                  <c:v>2011</c:v>
                </c:pt>
              </c:numCache>
            </c:numRef>
          </c:cat>
          <c:val>
            <c:numRef>
              <c:f>'Estados Financieros'!$B$99:$I$99</c:f>
              <c:numCache>
                <c:formatCode>0.00</c:formatCode>
                <c:ptCount val="8"/>
                <c:pt idx="0">
                  <c:v>1.1827835811356808</c:v>
                </c:pt>
                <c:pt idx="1">
                  <c:v>1.033324164243985</c:v>
                </c:pt>
                <c:pt idx="2">
                  <c:v>1.0538940547438738</c:v>
                </c:pt>
                <c:pt idx="3">
                  <c:v>1.3172737448325533</c:v>
                </c:pt>
                <c:pt idx="4">
                  <c:v>1.3042381356367792</c:v>
                </c:pt>
                <c:pt idx="5">
                  <c:v>2.8442370913557524</c:v>
                </c:pt>
                <c:pt idx="6">
                  <c:v>3.2859821369718545</c:v>
                </c:pt>
                <c:pt idx="7">
                  <c:v>3.1991016113499278</c:v>
                </c:pt>
              </c:numCache>
            </c:numRef>
          </c:val>
          <c:smooth val="1"/>
        </c:ser>
        <c:ser>
          <c:idx val="4"/>
          <c:order val="3"/>
          <c:cat>
            <c:numRef>
              <c:f>[2]Indicadores!$B$4:$F$4</c:f>
              <c:numCache>
                <c:formatCode>General</c:formatCode>
                <c:ptCount val="5"/>
                <c:pt idx="0">
                  <c:v>2007</c:v>
                </c:pt>
                <c:pt idx="1">
                  <c:v>2008</c:v>
                </c:pt>
                <c:pt idx="2">
                  <c:v>2009</c:v>
                </c:pt>
                <c:pt idx="3">
                  <c:v>2010</c:v>
                </c:pt>
                <c:pt idx="4">
                  <c:v>2011</c:v>
                </c:pt>
              </c:numCache>
            </c:numRef>
          </c:cat>
          <c:val>
            <c:numRef>
              <c:f>'Estados Financieros'!$B$102:$I$102</c:f>
              <c:numCache>
                <c:formatCode>0.00</c:formatCode>
                <c:ptCount val="8"/>
                <c:pt idx="0">
                  <c:v>1</c:v>
                </c:pt>
                <c:pt idx="1">
                  <c:v>1</c:v>
                </c:pt>
                <c:pt idx="2">
                  <c:v>1</c:v>
                </c:pt>
                <c:pt idx="3">
                  <c:v>1</c:v>
                </c:pt>
                <c:pt idx="4">
                  <c:v>1</c:v>
                </c:pt>
                <c:pt idx="5">
                  <c:v>1.0408428901777491</c:v>
                </c:pt>
                <c:pt idx="6">
                  <c:v>1.0094148175255331</c:v>
                </c:pt>
                <c:pt idx="7">
                  <c:v>1</c:v>
                </c:pt>
              </c:numCache>
            </c:numRef>
          </c:val>
          <c:smooth val="1"/>
        </c:ser>
        <c:dLbls>
          <c:showLegendKey val="0"/>
          <c:showVal val="0"/>
          <c:showCatName val="0"/>
          <c:showSerName val="0"/>
          <c:showPercent val="0"/>
          <c:showBubbleSize val="0"/>
        </c:dLbls>
        <c:marker val="1"/>
        <c:smooth val="0"/>
        <c:axId val="398023072"/>
        <c:axId val="398022512"/>
      </c:lineChart>
      <c:catAx>
        <c:axId val="398021392"/>
        <c:scaling>
          <c:orientation val="minMax"/>
        </c:scaling>
        <c:delete val="0"/>
        <c:axPos val="b"/>
        <c:numFmt formatCode="General" sourceLinked="1"/>
        <c:majorTickMark val="none"/>
        <c:minorTickMark val="none"/>
        <c:tickLblPos val="nextTo"/>
        <c:txPr>
          <a:bodyPr rot="0" vert="horz"/>
          <a:lstStyle/>
          <a:p>
            <a:pPr>
              <a:defRPr lang="es-CO" sz="1000" b="0" i="0" u="none" strike="noStrike" baseline="0">
                <a:solidFill>
                  <a:srgbClr val="000000"/>
                </a:solidFill>
                <a:latin typeface="Calibri"/>
                <a:ea typeface="Calibri"/>
                <a:cs typeface="Calibri"/>
              </a:defRPr>
            </a:pPr>
            <a:endParaRPr lang="es-CO"/>
          </a:p>
        </c:txPr>
        <c:crossAx val="398019152"/>
        <c:crosses val="autoZero"/>
        <c:auto val="1"/>
        <c:lblAlgn val="ctr"/>
        <c:lblOffset val="100"/>
        <c:noMultiLvlLbl val="0"/>
      </c:catAx>
      <c:valAx>
        <c:axId val="398019152"/>
        <c:scaling>
          <c:orientation val="minMax"/>
          <c:min val="1.0000000000000002E-2"/>
        </c:scaling>
        <c:delete val="0"/>
        <c:axPos val="l"/>
        <c:majorGridlines>
          <c:spPr>
            <a:ln>
              <a:solidFill>
                <a:schemeClr val="bg1">
                  <a:lumMod val="85000"/>
                </a:schemeClr>
              </a:solidFill>
            </a:ln>
          </c:spPr>
        </c:majorGridlines>
        <c:numFmt formatCode="0.0%" sourceLinked="1"/>
        <c:majorTickMark val="none"/>
        <c:minorTickMark val="none"/>
        <c:tickLblPos val="nextTo"/>
        <c:spPr>
          <a:ln w="9525">
            <a:noFill/>
          </a:ln>
        </c:spPr>
        <c:txPr>
          <a:bodyPr rot="180000" vert="horz"/>
          <a:lstStyle/>
          <a:p>
            <a:pPr>
              <a:defRPr lang="es-CO" sz="1000" b="0" i="0" u="none" strike="noStrike" baseline="0">
                <a:solidFill>
                  <a:srgbClr val="000000"/>
                </a:solidFill>
                <a:latin typeface="Calibri"/>
                <a:ea typeface="Calibri"/>
                <a:cs typeface="Calibri"/>
              </a:defRPr>
            </a:pPr>
            <a:endParaRPr lang="es-CO"/>
          </a:p>
        </c:txPr>
        <c:crossAx val="398021392"/>
        <c:crosses val="autoZero"/>
        <c:crossBetween val="between"/>
        <c:majorUnit val="0.05"/>
        <c:minorUnit val="0.05"/>
      </c:valAx>
      <c:catAx>
        <c:axId val="398023072"/>
        <c:scaling>
          <c:orientation val="minMax"/>
        </c:scaling>
        <c:delete val="1"/>
        <c:axPos val="b"/>
        <c:numFmt formatCode="General" sourceLinked="1"/>
        <c:majorTickMark val="out"/>
        <c:minorTickMark val="none"/>
        <c:tickLblPos val="none"/>
        <c:crossAx val="398022512"/>
        <c:crosses val="autoZero"/>
        <c:auto val="1"/>
        <c:lblAlgn val="ctr"/>
        <c:lblOffset val="100"/>
        <c:noMultiLvlLbl val="0"/>
      </c:catAx>
      <c:valAx>
        <c:axId val="398022512"/>
        <c:scaling>
          <c:orientation val="minMax"/>
        </c:scaling>
        <c:delete val="0"/>
        <c:axPos val="r"/>
        <c:numFmt formatCode="0.00" sourceLinked="1"/>
        <c:majorTickMark val="out"/>
        <c:minorTickMark val="none"/>
        <c:tickLblPos val="nextTo"/>
        <c:txPr>
          <a:bodyPr/>
          <a:lstStyle/>
          <a:p>
            <a:pPr>
              <a:defRPr lang="es-CO"/>
            </a:pPr>
            <a:endParaRPr lang="es-CO"/>
          </a:p>
        </c:txPr>
        <c:crossAx val="398023072"/>
        <c:crosses val="max"/>
        <c:crossBetween val="between"/>
      </c:valAx>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44" l="0.70000000000000062" r="0.70000000000000062" t="0.75000000000000544"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Variación en</a:t>
            </a:r>
            <a:r>
              <a:rPr lang="es-CO" b="1" baseline="0"/>
              <a:t> el precio de la acción ante cambios en Ke y Kd</a:t>
            </a:r>
            <a:endParaRPr lang="es-CO" b="1"/>
          </a:p>
        </c:rich>
      </c:tx>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WACC!$E$18</c:f>
              <c:strCache>
                <c:ptCount val="1"/>
                <c:pt idx="0">
                  <c:v>Kd</c:v>
                </c:pt>
              </c:strCache>
            </c:strRef>
          </c:tx>
          <c:spPr>
            <a:ln w="28575" cap="rnd">
              <a:solidFill>
                <a:schemeClr val="accent1"/>
              </a:solidFill>
              <a:round/>
            </a:ln>
            <a:effectLst/>
          </c:spPr>
          <c:marker>
            <c:symbol val="none"/>
          </c:marker>
          <c:dLbls>
            <c:dLbl>
              <c:idx val="4"/>
              <c:layout>
                <c:manualLayout>
                  <c:x val="-3.7449557997600802E-2"/>
                  <c:y val="-6.0445775696990563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195318917100731E-2"/>
                  <c:y val="3.6267465418194339E-2"/>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(WACC!$E$30:$E$39,WACC!$E$19:$E$26)</c:f>
              <c:numCache>
                <c:formatCode>0.00%</c:formatCode>
                <c:ptCount val="18"/>
                <c:pt idx="0">
                  <c:v>0.15056780371999157</c:v>
                </c:pt>
                <c:pt idx="1">
                  <c:v>0.14556780371999156</c:v>
                </c:pt>
                <c:pt idx="2">
                  <c:v>0.14056780371999156</c:v>
                </c:pt>
                <c:pt idx="3">
                  <c:v>0.13556780371999155</c:v>
                </c:pt>
                <c:pt idx="4">
                  <c:v>0.13056780371999155</c:v>
                </c:pt>
                <c:pt idx="5">
                  <c:v>0.12556780371999154</c:v>
                </c:pt>
                <c:pt idx="6">
                  <c:v>0.12056780371999154</c:v>
                </c:pt>
                <c:pt idx="7">
                  <c:v>0.11556780371999154</c:v>
                </c:pt>
                <c:pt idx="8">
                  <c:v>0.11056780371999153</c:v>
                </c:pt>
                <c:pt idx="9">
                  <c:v>0.10556780371999153</c:v>
                </c:pt>
                <c:pt idx="10">
                  <c:v>5.7860110783776571E-2</c:v>
                </c:pt>
                <c:pt idx="11">
                  <c:v>5.2860110783776573E-2</c:v>
                </c:pt>
                <c:pt idx="12">
                  <c:v>4.7860110783776576E-2</c:v>
                </c:pt>
                <c:pt idx="13">
                  <c:v>4.2860110783776578E-2</c:v>
                </c:pt>
                <c:pt idx="14">
                  <c:v>3.7860110783776581E-2</c:v>
                </c:pt>
                <c:pt idx="15">
                  <c:v>3.2860110783776583E-2</c:v>
                </c:pt>
                <c:pt idx="16">
                  <c:v>2.7860110783776582E-2</c:v>
                </c:pt>
                <c:pt idx="17">
                  <c:v>2.2860110783776581E-2</c:v>
                </c:pt>
              </c:numCache>
            </c:numRef>
          </c:cat>
          <c:val>
            <c:numRef>
              <c:f>WACC!$I$20:$I$25</c:f>
              <c:numCache>
                <c:formatCode>#,##0.000</c:formatCode>
                <c:ptCount val="6"/>
                <c:pt idx="0">
                  <c:v>19.092096579084142</c:v>
                </c:pt>
                <c:pt idx="1">
                  <c:v>21.416331129348038</c:v>
                </c:pt>
                <c:pt idx="2">
                  <c:v>26.169467026227931</c:v>
                </c:pt>
                <c:pt idx="3">
                  <c:v>37.047275766000091</c:v>
                </c:pt>
                <c:pt idx="4">
                  <c:v>76.249608697969265</c:v>
                </c:pt>
                <c:pt idx="5">
                  <c:v>-302.02733155084229</c:v>
                </c:pt>
              </c:numCache>
            </c:numRef>
          </c:val>
          <c:smooth val="1"/>
        </c:ser>
        <c:ser>
          <c:idx val="1"/>
          <c:order val="1"/>
          <c:tx>
            <c:strRef>
              <c:f>WACC!$E$29</c:f>
              <c:strCache>
                <c:ptCount val="1"/>
                <c:pt idx="0">
                  <c:v>Ke </c:v>
                </c:pt>
              </c:strCache>
            </c:strRef>
          </c:tx>
          <c:spPr>
            <a:ln w="28575" cap="rnd">
              <a:solidFill>
                <a:schemeClr val="accent2"/>
              </a:solidFill>
              <a:round/>
            </a:ln>
            <a:effectLst/>
          </c:spPr>
          <c:marker>
            <c:symbol val="none"/>
          </c:marker>
          <c:dLbls>
            <c:dLbl>
              <c:idx val="6"/>
              <c:layout>
                <c:manualLayout>
                  <c:x val="-3.4866829859835143E-2"/>
                  <c:y val="-8.4624085975786828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7"/>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(WACC!$E$30:$E$39,WACC!$E$19:$E$26)</c:f>
              <c:numCache>
                <c:formatCode>0.00%</c:formatCode>
                <c:ptCount val="18"/>
                <c:pt idx="0">
                  <c:v>0.15056780371999157</c:v>
                </c:pt>
                <c:pt idx="1">
                  <c:v>0.14556780371999156</c:v>
                </c:pt>
                <c:pt idx="2">
                  <c:v>0.14056780371999156</c:v>
                </c:pt>
                <c:pt idx="3">
                  <c:v>0.13556780371999155</c:v>
                </c:pt>
                <c:pt idx="4">
                  <c:v>0.13056780371999155</c:v>
                </c:pt>
                <c:pt idx="5">
                  <c:v>0.12556780371999154</c:v>
                </c:pt>
                <c:pt idx="6">
                  <c:v>0.12056780371999154</c:v>
                </c:pt>
                <c:pt idx="7">
                  <c:v>0.11556780371999154</c:v>
                </c:pt>
                <c:pt idx="8">
                  <c:v>0.11056780371999153</c:v>
                </c:pt>
                <c:pt idx="9">
                  <c:v>0.10556780371999153</c:v>
                </c:pt>
                <c:pt idx="10">
                  <c:v>5.7860110783776571E-2</c:v>
                </c:pt>
                <c:pt idx="11">
                  <c:v>5.2860110783776573E-2</c:v>
                </c:pt>
                <c:pt idx="12">
                  <c:v>4.7860110783776576E-2</c:v>
                </c:pt>
                <c:pt idx="13">
                  <c:v>4.2860110783776578E-2</c:v>
                </c:pt>
                <c:pt idx="14">
                  <c:v>3.7860110783776581E-2</c:v>
                </c:pt>
                <c:pt idx="15">
                  <c:v>3.2860110783776583E-2</c:v>
                </c:pt>
                <c:pt idx="16">
                  <c:v>2.7860110783776582E-2</c:v>
                </c:pt>
                <c:pt idx="17">
                  <c:v>2.2860110783776581E-2</c:v>
                </c:pt>
              </c:numCache>
            </c:numRef>
          </c:cat>
          <c:val>
            <c:numRef>
              <c:f>WACC!$I$30:$I$37</c:f>
              <c:numCache>
                <c:formatCode>#,##0.00000</c:formatCode>
                <c:ptCount val="8"/>
                <c:pt idx="0">
                  <c:v>18.106487686232011</c:v>
                </c:pt>
                <c:pt idx="1">
                  <c:v>18.803180933088555</c:v>
                </c:pt>
                <c:pt idx="2">
                  <c:v>20.367010133067019</c:v>
                </c:pt>
                <c:pt idx="3">
                  <c:v>23.257397994944466</c:v>
                </c:pt>
                <c:pt idx="4">
                  <c:v>28.648711823902524</c:v>
                </c:pt>
                <c:pt idx="5">
                  <c:v>40.217573401595686</c:v>
                </c:pt>
                <c:pt idx="6">
                  <c:v>77.353461858034635</c:v>
                </c:pt>
                <c:pt idx="7">
                  <c:v>-1194.0112508586371</c:v>
                </c:pt>
              </c:numCache>
            </c:numRef>
          </c:val>
          <c:smooth val="1"/>
        </c:ser>
        <c:dLbls>
          <c:showLegendKey val="0"/>
          <c:showVal val="0"/>
          <c:showCatName val="0"/>
          <c:showSerName val="0"/>
          <c:showPercent val="0"/>
          <c:showBubbleSize val="0"/>
        </c:dLbls>
        <c:smooth val="0"/>
        <c:axId val="598861696"/>
        <c:axId val="598862256"/>
      </c:lineChart>
      <c:catAx>
        <c:axId val="598861696"/>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8862256"/>
        <c:crosses val="autoZero"/>
        <c:auto val="1"/>
        <c:lblAlgn val="ctr"/>
        <c:lblOffset val="100"/>
        <c:noMultiLvlLbl val="0"/>
      </c:catAx>
      <c:valAx>
        <c:axId val="598862256"/>
        <c:scaling>
          <c:orientation val="minMax"/>
        </c:scaling>
        <c:delete val="0"/>
        <c:axPos val="l"/>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8861696"/>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226082580424206"/>
          <c:y val="0.18420638945985487"/>
          <c:w val="0.56708854210614168"/>
          <c:h val="0.64639245269167134"/>
        </c:manualLayout>
      </c:layout>
      <c:lineChart>
        <c:grouping val="standard"/>
        <c:varyColors val="0"/>
        <c:ser>
          <c:idx val="0"/>
          <c:order val="0"/>
          <c:tx>
            <c:strRef>
              <c:f>'Estados Financieros'!$A$132</c:f>
              <c:strCache>
                <c:ptCount val="1"/>
                <c:pt idx="0">
                  <c:v>Activos Fijos </c:v>
                </c:pt>
              </c:strCache>
            </c:strRef>
          </c:tx>
          <c:cat>
            <c:numRef>
              <c:f>'Estados Financieros'!$B$130:$I$130</c:f>
              <c:numCache>
                <c:formatCode>General</c:formatCode>
                <c:ptCount val="8"/>
                <c:pt idx="0">
                  <c:v>2006</c:v>
                </c:pt>
                <c:pt idx="1">
                  <c:v>2007</c:v>
                </c:pt>
                <c:pt idx="2">
                  <c:v>2008</c:v>
                </c:pt>
                <c:pt idx="3">
                  <c:v>2009</c:v>
                </c:pt>
                <c:pt idx="4">
                  <c:v>2010</c:v>
                </c:pt>
                <c:pt idx="5">
                  <c:v>2011</c:v>
                </c:pt>
                <c:pt idx="6">
                  <c:v>2012</c:v>
                </c:pt>
                <c:pt idx="7">
                  <c:v>2013</c:v>
                </c:pt>
              </c:numCache>
            </c:numRef>
          </c:cat>
          <c:val>
            <c:numRef>
              <c:f>'Estados Financieros'!$B$132:$I$132</c:f>
              <c:numCache>
                <c:formatCode>#,##0</c:formatCode>
                <c:ptCount val="8"/>
                <c:pt idx="0">
                  <c:v>10423.084999999999</c:v>
                </c:pt>
                <c:pt idx="1">
                  <c:v>10401.608</c:v>
                </c:pt>
                <c:pt idx="2">
                  <c:v>8336.4549999999999</c:v>
                </c:pt>
                <c:pt idx="3">
                  <c:v>56142.512000000002</c:v>
                </c:pt>
                <c:pt idx="4">
                  <c:v>55550.464999999997</c:v>
                </c:pt>
                <c:pt idx="5">
                  <c:v>59852.75</c:v>
                </c:pt>
                <c:pt idx="6">
                  <c:v>6474.8050000000003</c:v>
                </c:pt>
                <c:pt idx="7">
                  <c:v>8934</c:v>
                </c:pt>
              </c:numCache>
            </c:numRef>
          </c:val>
          <c:smooth val="1"/>
        </c:ser>
        <c:ser>
          <c:idx val="1"/>
          <c:order val="1"/>
          <c:tx>
            <c:strRef>
              <c:f>'Estados Financieros'!$A$134</c:f>
              <c:strCache>
                <c:ptCount val="1"/>
                <c:pt idx="0">
                  <c:v>Patrimonio </c:v>
                </c:pt>
              </c:strCache>
            </c:strRef>
          </c:tx>
          <c:cat>
            <c:numRef>
              <c:f>'Estados Financieros'!$B$130:$I$130</c:f>
              <c:numCache>
                <c:formatCode>General</c:formatCode>
                <c:ptCount val="8"/>
                <c:pt idx="0">
                  <c:v>2006</c:v>
                </c:pt>
                <c:pt idx="1">
                  <c:v>2007</c:v>
                </c:pt>
                <c:pt idx="2">
                  <c:v>2008</c:v>
                </c:pt>
                <c:pt idx="3">
                  <c:v>2009</c:v>
                </c:pt>
                <c:pt idx="4">
                  <c:v>2010</c:v>
                </c:pt>
                <c:pt idx="5">
                  <c:v>2011</c:v>
                </c:pt>
                <c:pt idx="6">
                  <c:v>2012</c:v>
                </c:pt>
                <c:pt idx="7">
                  <c:v>2013</c:v>
                </c:pt>
              </c:numCache>
            </c:numRef>
          </c:cat>
          <c:val>
            <c:numRef>
              <c:f>'Estados Financieros'!$B$134:$I$134</c:f>
              <c:numCache>
                <c:formatCode>#,##0</c:formatCode>
                <c:ptCount val="8"/>
                <c:pt idx="0">
                  <c:v>59080.071000000004</c:v>
                </c:pt>
                <c:pt idx="1">
                  <c:v>57698.875</c:v>
                </c:pt>
                <c:pt idx="2">
                  <c:v>73569.646999999997</c:v>
                </c:pt>
                <c:pt idx="3">
                  <c:v>75802.016000000003</c:v>
                </c:pt>
                <c:pt idx="4">
                  <c:v>65102.27</c:v>
                </c:pt>
                <c:pt idx="5">
                  <c:v>69884.407999999996</c:v>
                </c:pt>
                <c:pt idx="6">
                  <c:v>31255.697</c:v>
                </c:pt>
                <c:pt idx="7">
                  <c:v>30059</c:v>
                </c:pt>
              </c:numCache>
            </c:numRef>
          </c:val>
          <c:smooth val="1"/>
        </c:ser>
        <c:ser>
          <c:idx val="2"/>
          <c:order val="2"/>
          <c:tx>
            <c:strRef>
              <c:f>'Estados Financieros'!$A$131</c:f>
              <c:strCache>
                <c:ptCount val="1"/>
                <c:pt idx="0">
                  <c:v>Capital de Trabajo</c:v>
                </c:pt>
              </c:strCache>
            </c:strRef>
          </c:tx>
          <c:cat>
            <c:numRef>
              <c:f>'Estados Financieros'!$B$130:$I$130</c:f>
              <c:numCache>
                <c:formatCode>General</c:formatCode>
                <c:ptCount val="8"/>
                <c:pt idx="0">
                  <c:v>2006</c:v>
                </c:pt>
                <c:pt idx="1">
                  <c:v>2007</c:v>
                </c:pt>
                <c:pt idx="2">
                  <c:v>2008</c:v>
                </c:pt>
                <c:pt idx="3">
                  <c:v>2009</c:v>
                </c:pt>
                <c:pt idx="4">
                  <c:v>2010</c:v>
                </c:pt>
                <c:pt idx="5">
                  <c:v>2011</c:v>
                </c:pt>
                <c:pt idx="6">
                  <c:v>2012</c:v>
                </c:pt>
                <c:pt idx="7">
                  <c:v>2013</c:v>
                </c:pt>
              </c:numCache>
            </c:numRef>
          </c:cat>
          <c:val>
            <c:numRef>
              <c:f>'Estados Financieros'!$B$131:$I$131</c:f>
              <c:numCache>
                <c:formatCode>#,##0</c:formatCode>
                <c:ptCount val="8"/>
                <c:pt idx="0">
                  <c:v>48656.986000000004</c:v>
                </c:pt>
                <c:pt idx="1">
                  <c:v>47297.267000000007</c:v>
                </c:pt>
                <c:pt idx="2">
                  <c:v>65233.191999999995</c:v>
                </c:pt>
                <c:pt idx="3">
                  <c:v>19659.503999999997</c:v>
                </c:pt>
                <c:pt idx="4">
                  <c:v>9551.8050000000003</c:v>
                </c:pt>
                <c:pt idx="5">
                  <c:v>10031.658000000003</c:v>
                </c:pt>
                <c:pt idx="6">
                  <c:v>26057.465000000004</c:v>
                </c:pt>
                <c:pt idx="7">
                  <c:v>21409</c:v>
                </c:pt>
              </c:numCache>
            </c:numRef>
          </c:val>
          <c:smooth val="1"/>
        </c:ser>
        <c:ser>
          <c:idx val="3"/>
          <c:order val="3"/>
          <c:tx>
            <c:strRef>
              <c:f>'Estados Financieros'!$A$133</c:f>
              <c:strCache>
                <c:ptCount val="1"/>
                <c:pt idx="0">
                  <c:v>Deuda </c:v>
                </c:pt>
              </c:strCache>
            </c:strRef>
          </c:tx>
          <c:cat>
            <c:numRef>
              <c:f>'Estados Financieros'!$B$130:$I$130</c:f>
              <c:numCache>
                <c:formatCode>General</c:formatCode>
                <c:ptCount val="8"/>
                <c:pt idx="0">
                  <c:v>2006</c:v>
                </c:pt>
                <c:pt idx="1">
                  <c:v>2007</c:v>
                </c:pt>
                <c:pt idx="2">
                  <c:v>2008</c:v>
                </c:pt>
                <c:pt idx="3">
                  <c:v>2009</c:v>
                </c:pt>
                <c:pt idx="4">
                  <c:v>2010</c:v>
                </c:pt>
                <c:pt idx="5">
                  <c:v>2011</c:v>
                </c:pt>
                <c:pt idx="6">
                  <c:v>2012</c:v>
                </c:pt>
                <c:pt idx="7">
                  <c:v>2013</c:v>
                </c:pt>
              </c:numCache>
            </c:numRef>
          </c:cat>
          <c:val>
            <c:numRef>
              <c:f>'Estados Financieros'!$B$133:$I$133</c:f>
              <c:numCache>
                <c:formatCode>#,##0</c:formatCode>
                <c:ptCount val="8"/>
                <c:pt idx="0">
                  <c:v>0</c:v>
                </c:pt>
                <c:pt idx="1">
                  <c:v>0</c:v>
                </c:pt>
                <c:pt idx="2">
                  <c:v>0</c:v>
                </c:pt>
                <c:pt idx="3">
                  <c:v>0</c:v>
                </c:pt>
                <c:pt idx="4">
                  <c:v>0</c:v>
                </c:pt>
                <c:pt idx="5">
                  <c:v>0</c:v>
                </c:pt>
                <c:pt idx="6">
                  <c:v>1276.5730000000001</c:v>
                </c:pt>
                <c:pt idx="7">
                  <c:v>283</c:v>
                </c:pt>
              </c:numCache>
            </c:numRef>
          </c:val>
          <c:smooth val="1"/>
        </c:ser>
        <c:dLbls>
          <c:showLegendKey val="0"/>
          <c:showVal val="0"/>
          <c:showCatName val="0"/>
          <c:showSerName val="0"/>
          <c:showPercent val="0"/>
          <c:showBubbleSize val="0"/>
        </c:dLbls>
        <c:marker val="1"/>
        <c:smooth val="0"/>
        <c:axId val="357984976"/>
        <c:axId val="541868352"/>
      </c:lineChart>
      <c:catAx>
        <c:axId val="357984976"/>
        <c:scaling>
          <c:orientation val="minMax"/>
        </c:scaling>
        <c:delete val="0"/>
        <c:axPos val="b"/>
        <c:numFmt formatCode="General" sourceLinked="1"/>
        <c:majorTickMark val="out"/>
        <c:minorTickMark val="none"/>
        <c:tickLblPos val="nextTo"/>
        <c:txPr>
          <a:bodyPr rot="0" vert="horz"/>
          <a:lstStyle/>
          <a:p>
            <a:pPr>
              <a:defRPr lang="es-CO" sz="1000" b="0" i="0" u="none" strike="noStrike" baseline="0">
                <a:solidFill>
                  <a:srgbClr val="000000"/>
                </a:solidFill>
                <a:latin typeface="Calibri"/>
                <a:ea typeface="Calibri"/>
                <a:cs typeface="Calibri"/>
              </a:defRPr>
            </a:pPr>
            <a:endParaRPr lang="es-CO"/>
          </a:p>
        </c:txPr>
        <c:crossAx val="541868352"/>
        <c:crosses val="autoZero"/>
        <c:auto val="1"/>
        <c:lblAlgn val="ctr"/>
        <c:lblOffset val="100"/>
        <c:noMultiLvlLbl val="0"/>
      </c:catAx>
      <c:valAx>
        <c:axId val="541868352"/>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txPr>
          <a:bodyPr rot="0" vert="horz"/>
          <a:lstStyle/>
          <a:p>
            <a:pPr>
              <a:defRPr lang="es-CO" sz="1000" b="0" i="0" u="none" strike="noStrike" baseline="0">
                <a:solidFill>
                  <a:srgbClr val="000000"/>
                </a:solidFill>
                <a:latin typeface="Calibri"/>
                <a:ea typeface="Calibri"/>
                <a:cs typeface="Calibri"/>
              </a:defRPr>
            </a:pPr>
            <a:endParaRPr lang="es-CO"/>
          </a:p>
        </c:txPr>
        <c:crossAx val="357984976"/>
        <c:crosses val="autoZero"/>
        <c:crossBetween val="between"/>
      </c:valAx>
    </c:plotArea>
    <c:legend>
      <c:legendPos val="r"/>
      <c:layout>
        <c:manualLayout>
          <c:xMode val="edge"/>
          <c:yMode val="edge"/>
          <c:x val="0.68634904035433075"/>
          <c:y val="0.18296202485179"/>
          <c:w val="0.30322157972441394"/>
          <c:h val="0.60111557733604981"/>
        </c:manualLayout>
      </c:layout>
      <c:overlay val="0"/>
      <c:txPr>
        <a:bodyPr/>
        <a:lstStyle/>
        <a:p>
          <a:pPr>
            <a:defRPr lang="es-CO"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588" l="0.70000000000000062" r="0.70000000000000062" t="0.75000000000000588"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lang="es-CO" sz="1600">
                <a:latin typeface="Times New Roman" pitchFamily="18" charset="0"/>
                <a:cs typeface="Times New Roman" pitchFamily="18" charset="0"/>
              </a:defRPr>
            </a:pPr>
            <a:r>
              <a:rPr lang="es-CO" sz="1600">
                <a:latin typeface="Times New Roman" pitchFamily="18" charset="0"/>
                <a:cs typeface="Times New Roman" pitchFamily="18" charset="0"/>
              </a:rPr>
              <a:t>Disponible 2014</a:t>
            </a:r>
          </a:p>
        </c:rich>
      </c:tx>
      <c:overlay val="0"/>
    </c:title>
    <c:autoTitleDeleted val="0"/>
    <c:view3D>
      <c:rotX val="75"/>
      <c:rotY val="0"/>
      <c:rAngAx val="0"/>
    </c:view3D>
    <c:floor>
      <c:thickness val="0"/>
    </c:floor>
    <c:sideWall>
      <c:thickness val="0"/>
    </c:sideWall>
    <c:backWall>
      <c:thickness val="0"/>
    </c:backWall>
    <c:plotArea>
      <c:layout>
        <c:manualLayout>
          <c:layoutTarget val="inner"/>
          <c:xMode val="edge"/>
          <c:yMode val="edge"/>
          <c:x val="7.790864800046958E-2"/>
          <c:y val="0.26417977947949306"/>
          <c:w val="0.53268228052963029"/>
          <c:h val="0.69326232930352438"/>
        </c:manualLayout>
      </c:layout>
      <c:pie3DChart>
        <c:varyColors val="1"/>
        <c:ser>
          <c:idx val="0"/>
          <c:order val="0"/>
          <c:dPt>
            <c:idx val="2"/>
            <c:bubble3D val="0"/>
            <c:spPr>
              <a:solidFill>
                <a:schemeClr val="tx2">
                  <a:lumMod val="75000"/>
                </a:schemeClr>
              </a:solidFill>
            </c:spPr>
          </c:dPt>
          <c:dLbls>
            <c:dLbl>
              <c:idx val="0"/>
              <c:layout>
                <c:manualLayout>
                  <c:x val="-8.3244468655254575E-2"/>
                  <c:y val="-0.11521310748059226"/>
                </c:manualLayout>
              </c:layout>
              <c:showLegendKey val="0"/>
              <c:showVal val="0"/>
              <c:showCatName val="0"/>
              <c:showSerName val="0"/>
              <c:showPercent val="1"/>
              <c:showBubbleSize val="0"/>
              <c:extLst>
                <c:ext xmlns:c15="http://schemas.microsoft.com/office/drawing/2012/chart" uri="{CE6537A1-D6FC-4f65-9D91-7224C49458BB}"/>
              </c:extLst>
            </c:dLbl>
            <c:dLbl>
              <c:idx val="1"/>
              <c:layout>
                <c:manualLayout>
                  <c:x val="0.1087065374689799"/>
                  <c:y val="8.9622316385857079E-3"/>
                </c:manualLayout>
              </c:layout>
              <c:showLegendKey val="0"/>
              <c:showVal val="0"/>
              <c:showCatName val="0"/>
              <c:showSerName val="0"/>
              <c:showPercent val="1"/>
              <c:showBubbleSize val="0"/>
              <c:extLst>
                <c:ext xmlns:c15="http://schemas.microsoft.com/office/drawing/2012/chart" uri="{CE6537A1-D6FC-4f65-9D91-7224C49458BB}"/>
              </c:extLst>
            </c:dLbl>
            <c:dLbl>
              <c:idx val="2"/>
              <c:layout>
                <c:manualLayout>
                  <c:x val="6.3854250923037134E-2"/>
                  <c:y val="-0.23939072892421726"/>
                </c:manualLayout>
              </c:layout>
              <c:showLegendKey val="0"/>
              <c:showVal val="0"/>
              <c:showCatName val="0"/>
              <c:showSerName val="0"/>
              <c:showPercent val="1"/>
              <c:showBubbleSize val="0"/>
              <c:extLst>
                <c:ext xmlns:c15="http://schemas.microsoft.com/office/drawing/2012/chart" uri="{CE6537A1-D6FC-4f65-9D91-7224C49458BB}"/>
              </c:extLst>
            </c:dLbl>
            <c:dLbl>
              <c:idx val="3"/>
              <c:layout>
                <c:manualLayout>
                  <c:x val="-0.16430666292499602"/>
                  <c:y val="2.1018838762450649E-2"/>
                </c:manualLayout>
              </c:layout>
              <c:showLegendKey val="0"/>
              <c:showVal val="0"/>
              <c:showCatName val="0"/>
              <c:showSerName val="0"/>
              <c:showPercent val="1"/>
              <c:showBubbleSize val="0"/>
              <c:extLst>
                <c:ext xmlns:c15="http://schemas.microsoft.com/office/drawing/2012/chart" uri="{CE6537A1-D6FC-4f65-9D91-7224C49458BB}"/>
              </c:extLst>
            </c:dLbl>
            <c:numFmt formatCode="0.00%" sourceLinked="0"/>
            <c:spPr>
              <a:noFill/>
              <a:ln>
                <a:noFill/>
              </a:ln>
              <a:effectLst/>
            </c:spPr>
            <c:txPr>
              <a:bodyPr/>
              <a:lstStyle/>
              <a:p>
                <a:pPr>
                  <a:defRPr lang="es-CO"/>
                </a:pPr>
                <a:endParaRPr lang="es-CO"/>
              </a:p>
            </c:txPr>
            <c:showLegendKey val="0"/>
            <c:showVal val="0"/>
            <c:showCatName val="0"/>
            <c:showSerName val="0"/>
            <c:showPercent val="1"/>
            <c:showBubbleSize val="0"/>
            <c:showLeaderLines val="1"/>
            <c:extLst>
              <c:ext xmlns:c15="http://schemas.microsoft.com/office/drawing/2012/chart" uri="{CE6537A1-D6FC-4f65-9D91-7224C49458BB}"/>
            </c:extLst>
          </c:dLbls>
          <c:cat>
            <c:strRef>
              <c:f>'Gráficas 2013'!$A$96:$A$99</c:f>
              <c:strCache>
                <c:ptCount val="4"/>
                <c:pt idx="0">
                  <c:v>1105 CAJA </c:v>
                </c:pt>
                <c:pt idx="1">
                  <c:v>1110 BANCOS </c:v>
                </c:pt>
                <c:pt idx="2">
                  <c:v>1120 CUENTAS DE AHORRO </c:v>
                </c:pt>
                <c:pt idx="3">
                  <c:v>1125 FONDOS </c:v>
                </c:pt>
              </c:strCache>
            </c:strRef>
          </c:cat>
          <c:val>
            <c:numRef>
              <c:f>'Gráficas 2013'!$E$96:$E$99</c:f>
              <c:numCache>
                <c:formatCode>0.00%</c:formatCode>
                <c:ptCount val="4"/>
                <c:pt idx="0">
                  <c:v>3.1262406312531983E-3</c:v>
                </c:pt>
                <c:pt idx="1">
                  <c:v>0.10067957401351674</c:v>
                </c:pt>
                <c:pt idx="2">
                  <c:v>0.89541232494380241</c:v>
                </c:pt>
                <c:pt idx="3">
                  <c:v>7.8186041142751901E-4</c:v>
                </c:pt>
              </c:numCache>
            </c:numRef>
          </c:val>
        </c:ser>
        <c:dLbls>
          <c:showLegendKey val="0"/>
          <c:showVal val="0"/>
          <c:showCatName val="0"/>
          <c:showSerName val="0"/>
          <c:showPercent val="1"/>
          <c:showBubbleSize val="0"/>
          <c:showLeaderLines val="1"/>
        </c:dLbls>
      </c:pie3DChart>
    </c:plotArea>
    <c:legend>
      <c:legendPos val="r"/>
      <c:layout>
        <c:manualLayout>
          <c:xMode val="edge"/>
          <c:yMode val="edge"/>
          <c:x val="0.62870971799452036"/>
          <c:y val="0.3422062178436705"/>
          <c:w val="0.26059701656789758"/>
          <c:h val="0.5994978806232738"/>
        </c:manualLayout>
      </c:layout>
      <c:overlay val="0"/>
      <c:txPr>
        <a:bodyPr/>
        <a:lstStyle/>
        <a:p>
          <a:pPr>
            <a:defRPr lang="es-CO" sz="900">
              <a:latin typeface="Times New Roman" pitchFamily="18" charset="0"/>
              <a:cs typeface="Times New Roman" pitchFamily="18" charset="0"/>
            </a:defRPr>
          </a:pPr>
          <a:endParaRPr lang="es-CO"/>
        </a:p>
      </c:txPr>
    </c:legend>
    <c:plotVisOnly val="1"/>
    <c:dispBlanksAs val="zero"/>
    <c:showDLblsOverMax val="0"/>
  </c:chart>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lang="es-CO" sz="1600">
                <a:latin typeface="Times New Roman" pitchFamily="18" charset="0"/>
                <a:cs typeface="Times New Roman" pitchFamily="18" charset="0"/>
              </a:defRPr>
            </a:pPr>
            <a:r>
              <a:rPr lang="es-CO" sz="1600">
                <a:latin typeface="Times New Roman" pitchFamily="18" charset="0"/>
                <a:cs typeface="Times New Roman" pitchFamily="18" charset="0"/>
              </a:rPr>
              <a:t>Cartera 2014</a:t>
            </a:r>
          </a:p>
        </c:rich>
      </c:tx>
      <c:overlay val="0"/>
    </c:title>
    <c:autoTitleDeleted val="0"/>
    <c:plotArea>
      <c:layout>
        <c:manualLayout>
          <c:layoutTarget val="inner"/>
          <c:xMode val="edge"/>
          <c:yMode val="edge"/>
          <c:x val="2.5180632908691287E-2"/>
          <c:y val="0.268649679944095"/>
          <c:w val="0.53666866289601112"/>
          <c:h val="0.6580912258153917"/>
        </c:manualLayout>
      </c:layout>
      <c:pieChart>
        <c:varyColors val="1"/>
        <c:ser>
          <c:idx val="0"/>
          <c:order val="0"/>
          <c:dLbls>
            <c:spPr>
              <a:noFill/>
              <a:ln>
                <a:noFill/>
              </a:ln>
              <a:effectLst/>
            </c:spPr>
            <c:showLegendKey val="0"/>
            <c:showVal val="0"/>
            <c:showCatName val="0"/>
            <c:showSerName val="0"/>
            <c:showPercent val="1"/>
            <c:showBubbleSize val="0"/>
            <c:showLeaderLines val="0"/>
            <c:extLst>
              <c:ext xmlns:c15="http://schemas.microsoft.com/office/drawing/2012/chart" uri="{CE6537A1-D6FC-4f65-9D91-7224C49458BB}"/>
            </c:extLst>
          </c:dLbls>
          <c:cat>
            <c:strRef>
              <c:f>'Gráficas 2013'!$A$104:$A$108</c:f>
              <c:strCache>
                <c:ptCount val="5"/>
                <c:pt idx="0">
                  <c:v>1305 CLIENTES  (ANEXO 8)</c:v>
                </c:pt>
                <c:pt idx="1">
                  <c:v>1310 CUENTAS CORRIENTES COMERCIALES (CP)</c:v>
                </c:pt>
                <c:pt idx="2">
                  <c:v>1380 DEUDORES VARIOS (CP)</c:v>
                </c:pt>
                <c:pt idx="3">
                  <c:v>1390 DEUDAS DE DIFÍCIL COBRO (CP)</c:v>
                </c:pt>
                <c:pt idx="4">
                  <c:v>1399 PROVISIONES  (CP)</c:v>
                </c:pt>
              </c:strCache>
            </c:strRef>
          </c:cat>
          <c:val>
            <c:numRef>
              <c:f>'Gráficas 2013'!$E$104:$E$108</c:f>
              <c:numCache>
                <c:formatCode>0.00%</c:formatCode>
                <c:ptCount val="5"/>
                <c:pt idx="0">
                  <c:v>0.36400755401990037</c:v>
                </c:pt>
                <c:pt idx="1">
                  <c:v>0.52558930598141429</c:v>
                </c:pt>
                <c:pt idx="2">
                  <c:v>0.10706151346624575</c:v>
                </c:pt>
                <c:pt idx="3">
                  <c:v>0</c:v>
                </c:pt>
                <c:pt idx="4">
                  <c:v>0</c:v>
                </c:pt>
              </c:numCache>
            </c:numRef>
          </c:val>
        </c:ser>
        <c:dLbls>
          <c:showLegendKey val="0"/>
          <c:showVal val="0"/>
          <c:showCatName val="0"/>
          <c:showSerName val="0"/>
          <c:showPercent val="1"/>
          <c:showBubbleSize val="0"/>
          <c:showLeaderLines val="0"/>
        </c:dLbls>
        <c:firstSliceAng val="0"/>
      </c:pieChart>
    </c:plotArea>
    <c:legend>
      <c:legendPos val="r"/>
      <c:layout>
        <c:manualLayout>
          <c:xMode val="edge"/>
          <c:yMode val="edge"/>
          <c:x val="0.57676004583934048"/>
          <c:y val="0.31570593079858583"/>
          <c:w val="0.40155972052789185"/>
          <c:h val="0.63543907913255815"/>
        </c:manualLayout>
      </c:layout>
      <c:overlay val="0"/>
      <c:txPr>
        <a:bodyPr/>
        <a:lstStyle/>
        <a:p>
          <a:pPr>
            <a:defRPr lang="es-CO" sz="900">
              <a:latin typeface="Times New Roman" pitchFamily="18" charset="0"/>
              <a:cs typeface="Times New Roman" pitchFamily="18" charset="0"/>
            </a:defRPr>
          </a:pPr>
          <a:endParaRPr lang="es-CO"/>
        </a:p>
      </c:txPr>
    </c:legend>
    <c:plotVisOnly val="1"/>
    <c:dispBlanksAs val="zero"/>
    <c:showDLblsOverMax val="0"/>
  </c:chart>
  <c:printSettings>
    <c:headerFooter/>
    <c:pageMargins b="0.75000000000000211" l="0.70000000000000062" r="0.70000000000000062" t="0.750000000000002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lang="es-CO"/>
            </a:pPr>
            <a:r>
              <a:rPr lang="es-CO"/>
              <a:t>Composición</a:t>
            </a:r>
            <a:r>
              <a:rPr lang="es-CO" baseline="0"/>
              <a:t> del Activo</a:t>
            </a:r>
            <a:endParaRPr lang="es-CO"/>
          </a:p>
        </c:rich>
      </c:tx>
      <c:overlay val="0"/>
    </c:title>
    <c:autoTitleDeleted val="0"/>
    <c:plotArea>
      <c:layout>
        <c:manualLayout>
          <c:layoutTarget val="inner"/>
          <c:xMode val="edge"/>
          <c:yMode val="edge"/>
          <c:x val="2.4528159470262278E-2"/>
          <c:y val="0.24084897679362174"/>
          <c:w val="0.56629200761669563"/>
          <c:h val="0.67034994157690064"/>
        </c:manualLayout>
      </c:layout>
      <c:pieChart>
        <c:varyColors val="1"/>
        <c:ser>
          <c:idx val="0"/>
          <c:order val="0"/>
          <c:dLbls>
            <c:spPr>
              <a:noFill/>
              <a:ln>
                <a:noFill/>
              </a:ln>
              <a:effectLst/>
            </c:spPr>
            <c:showLegendKey val="0"/>
            <c:showVal val="0"/>
            <c:showCatName val="0"/>
            <c:showSerName val="0"/>
            <c:showPercent val="1"/>
            <c:showBubbleSize val="0"/>
            <c:showLeaderLines val="0"/>
            <c:extLst>
              <c:ext xmlns:c15="http://schemas.microsoft.com/office/drawing/2012/chart" uri="{CE6537A1-D6FC-4f65-9D91-7224C49458BB}"/>
            </c:extLst>
          </c:dLbls>
          <c:cat>
            <c:strRef>
              <c:f>'Gráficas 2013'!$A$112:$A$113</c:f>
              <c:strCache>
                <c:ptCount val="2"/>
                <c:pt idx="0">
                  <c:v>TOTAL ACTIVO CORRIENTE  </c:v>
                </c:pt>
                <c:pt idx="1">
                  <c:v>TOTAL ACTIVO NO CORRIENTE </c:v>
                </c:pt>
              </c:strCache>
            </c:strRef>
          </c:cat>
          <c:val>
            <c:numRef>
              <c:f>'Gráficas 2013'!$E$112:$E$113</c:f>
              <c:numCache>
                <c:formatCode>0.00%</c:formatCode>
                <c:ptCount val="2"/>
                <c:pt idx="0">
                  <c:v>0.92090122444717004</c:v>
                </c:pt>
                <c:pt idx="1">
                  <c:v>7.9098775552829945E-2</c:v>
                </c:pt>
              </c:numCache>
            </c:numRef>
          </c:val>
        </c:ser>
        <c:dLbls>
          <c:showLegendKey val="0"/>
          <c:showVal val="0"/>
          <c:showCatName val="0"/>
          <c:showSerName val="0"/>
          <c:showPercent val="1"/>
          <c:showBubbleSize val="0"/>
          <c:showLeaderLines val="0"/>
        </c:dLbls>
        <c:firstSliceAng val="0"/>
      </c:pieChart>
    </c:plotArea>
    <c:legend>
      <c:legendPos val="r"/>
      <c:overlay val="0"/>
      <c:txPr>
        <a:bodyPr/>
        <a:lstStyle/>
        <a:p>
          <a:pPr>
            <a:defRPr lang="es-CO"/>
          </a:pPr>
          <a:endParaRPr lang="es-CO"/>
        </a:p>
      </c:txPr>
    </c:legend>
    <c:plotVisOnly val="1"/>
    <c:dispBlanksAs val="zero"/>
    <c:showDLblsOverMax val="0"/>
  </c:chart>
  <c:printSettings>
    <c:headerFooter/>
    <c:pageMargins b="0.75000000000000211" l="0.70000000000000062" r="0.70000000000000062" t="0.750000000000002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lang="es-CO" sz="1600">
                <a:latin typeface="Times New Roman" pitchFamily="18" charset="0"/>
                <a:cs typeface="Times New Roman" pitchFamily="18" charset="0"/>
              </a:defRPr>
            </a:pPr>
            <a:r>
              <a:rPr lang="es-CO" sz="1600">
                <a:latin typeface="Times New Roman" pitchFamily="18" charset="0"/>
                <a:cs typeface="Times New Roman" pitchFamily="18" charset="0"/>
              </a:rPr>
              <a:t>Activos</a:t>
            </a:r>
            <a:r>
              <a:rPr lang="es-CO" sz="1600" baseline="0">
                <a:latin typeface="Times New Roman" pitchFamily="18" charset="0"/>
                <a:cs typeface="Times New Roman" pitchFamily="18" charset="0"/>
              </a:rPr>
              <a:t> 2014</a:t>
            </a:r>
            <a:endParaRPr lang="es-CO" sz="1600">
              <a:latin typeface="Times New Roman" pitchFamily="18" charset="0"/>
              <a:cs typeface="Times New Roman" pitchFamily="18" charset="0"/>
            </a:endParaRPr>
          </a:p>
        </c:rich>
      </c:tx>
      <c:overlay val="0"/>
    </c:title>
    <c:autoTitleDeleted val="0"/>
    <c:plotArea>
      <c:layout>
        <c:manualLayout>
          <c:layoutTarget val="inner"/>
          <c:xMode val="edge"/>
          <c:yMode val="edge"/>
          <c:x val="1.7361038203557957E-2"/>
          <c:y val="0.21227198690195881"/>
          <c:w val="0.53564829396325464"/>
          <c:h val="0.62004304124363885"/>
        </c:manualLayout>
      </c:layout>
      <c:pieChart>
        <c:varyColors val="1"/>
        <c:ser>
          <c:idx val="0"/>
          <c:order val="0"/>
          <c:dLbls>
            <c:spPr>
              <a:noFill/>
              <a:ln>
                <a:noFill/>
              </a:ln>
              <a:effectLst/>
            </c:spPr>
            <c:showLegendKey val="0"/>
            <c:showVal val="0"/>
            <c:showCatName val="0"/>
            <c:showSerName val="0"/>
            <c:showPercent val="1"/>
            <c:showBubbleSize val="0"/>
            <c:showLeaderLines val="0"/>
            <c:extLst>
              <c:ext xmlns:c15="http://schemas.microsoft.com/office/drawing/2012/chart" uri="{CE6537A1-D6FC-4f65-9D91-7224C49458BB}"/>
            </c:extLst>
          </c:dLbls>
          <c:cat>
            <c:strRef>
              <c:f>'Gráficas 2013'!$A$121:$A$126</c:f>
              <c:strCache>
                <c:ptCount val="6"/>
                <c:pt idx="0">
                  <c:v>11 SUBTOTAL DISPONIBLE</c:v>
                </c:pt>
                <c:pt idx="1">
                  <c:v>13 SUBTOTAL DEUDORES (CP)</c:v>
                </c:pt>
                <c:pt idx="2">
                  <c:v>17 SUBTOTAL DIFERIDO (CP)</c:v>
                </c:pt>
                <c:pt idx="3">
                  <c:v>13 SUBTOTAL  DEUDORES A LARGO PLAZO </c:v>
                </c:pt>
                <c:pt idx="4">
                  <c:v>15 PROPIEDADES PLANTA Y EQUIPO(ANEXO 9) </c:v>
                </c:pt>
                <c:pt idx="5">
                  <c:v>17 SUBTOTAL  DIFERIDOS </c:v>
                </c:pt>
              </c:strCache>
            </c:strRef>
          </c:cat>
          <c:val>
            <c:numRef>
              <c:f>'Gráficas 2013'!$E$121:$E$126</c:f>
              <c:numCache>
                <c:formatCode>0.00%</c:formatCode>
                <c:ptCount val="6"/>
                <c:pt idx="0">
                  <c:v>7.7392076938144982E-2</c:v>
                </c:pt>
                <c:pt idx="1">
                  <c:v>0.81232068781766675</c:v>
                </c:pt>
                <c:pt idx="2">
                  <c:v>3.1188459691358288E-2</c:v>
                </c:pt>
                <c:pt idx="3">
                  <c:v>2.5393719326377091E-2</c:v>
                </c:pt>
                <c:pt idx="4">
                  <c:v>3.3516295184098356E-2</c:v>
                </c:pt>
                <c:pt idx="5">
                  <c:v>8.165218794879199E-3</c:v>
                </c:pt>
              </c:numCache>
            </c:numRef>
          </c:val>
        </c:ser>
        <c:dLbls>
          <c:showLegendKey val="0"/>
          <c:showVal val="0"/>
          <c:showCatName val="0"/>
          <c:showSerName val="0"/>
          <c:showPercent val="1"/>
          <c:showBubbleSize val="0"/>
          <c:showLeaderLines val="0"/>
        </c:dLbls>
        <c:firstSliceAng val="0"/>
      </c:pieChart>
    </c:plotArea>
    <c:legend>
      <c:legendPos val="r"/>
      <c:layout>
        <c:manualLayout>
          <c:xMode val="edge"/>
          <c:yMode val="edge"/>
          <c:x val="0.56498979294254881"/>
          <c:y val="0.15707116996227571"/>
          <c:w val="0.40895158938466269"/>
          <c:h val="0.80109004059380329"/>
        </c:manualLayout>
      </c:layout>
      <c:overlay val="0"/>
      <c:txPr>
        <a:bodyPr/>
        <a:lstStyle/>
        <a:p>
          <a:pPr>
            <a:defRPr lang="es-CO" sz="900">
              <a:latin typeface="Times New Roman" pitchFamily="18" charset="0"/>
              <a:cs typeface="Times New Roman" pitchFamily="18" charset="0"/>
            </a:defRPr>
          </a:pPr>
          <a:endParaRPr lang="es-CO"/>
        </a:p>
      </c:txPr>
    </c:legend>
    <c:plotVisOnly val="1"/>
    <c:dispBlanksAs val="zero"/>
    <c:showDLblsOverMax val="0"/>
  </c:chart>
  <c:printSettings>
    <c:headerFooter/>
    <c:pageMargins b="0.75000000000000211" l="0.70000000000000062" r="0.70000000000000062" t="0.750000000000002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lang="es-CO" sz="1600">
                <a:latin typeface="Times New Roman" pitchFamily="18" charset="0"/>
                <a:cs typeface="Times New Roman" pitchFamily="18" charset="0"/>
              </a:defRPr>
            </a:pPr>
            <a:r>
              <a:rPr lang="es-CO" sz="1600">
                <a:latin typeface="Times New Roman" pitchFamily="18" charset="0"/>
                <a:cs typeface="Times New Roman" pitchFamily="18" charset="0"/>
              </a:rPr>
              <a:t>Pasivo 2014</a:t>
            </a:r>
          </a:p>
        </c:rich>
      </c:tx>
      <c:overlay val="0"/>
    </c:title>
    <c:autoTitleDeleted val="0"/>
    <c:plotArea>
      <c:layout>
        <c:manualLayout>
          <c:layoutTarget val="inner"/>
          <c:xMode val="edge"/>
          <c:yMode val="edge"/>
          <c:x val="3.3303396757102983E-2"/>
          <c:y val="0.19822384350764274"/>
          <c:w val="0.50161643587654958"/>
          <c:h val="0.64432514530937735"/>
        </c:manualLayout>
      </c:layout>
      <c:pieChart>
        <c:varyColors val="1"/>
        <c:ser>
          <c:idx val="0"/>
          <c:order val="0"/>
          <c:dLbls>
            <c:spPr>
              <a:noFill/>
              <a:ln>
                <a:noFill/>
              </a:ln>
              <a:effectLst/>
            </c:spPr>
            <c:showLegendKey val="0"/>
            <c:showVal val="0"/>
            <c:showCatName val="0"/>
            <c:showSerName val="0"/>
            <c:showPercent val="1"/>
            <c:showBubbleSize val="0"/>
            <c:showLeaderLines val="0"/>
            <c:extLst>
              <c:ext xmlns:c15="http://schemas.microsoft.com/office/drawing/2012/chart" uri="{CE6537A1-D6FC-4f65-9D91-7224C49458BB}"/>
            </c:extLst>
          </c:dLbls>
          <c:cat>
            <c:strRef>
              <c:f>'Gráficas 2013'!$A$139:$A$144</c:f>
              <c:strCache>
                <c:ptCount val="6"/>
                <c:pt idx="0">
                  <c:v>22 PROVEEDORES (CP)</c:v>
                </c:pt>
                <c:pt idx="1">
                  <c:v>23 SUBTOTAL CUENTAS POR PAGAR (CP)</c:v>
                </c:pt>
                <c:pt idx="2">
                  <c:v>24 IMPUESTOS GRAVÁMENES Y TASAS (CP)</c:v>
                </c:pt>
                <c:pt idx="3">
                  <c:v>25 OBLIGACIONES LABORALES (CP)</c:v>
                </c:pt>
                <c:pt idx="4">
                  <c:v>26 SUBTOTAL PASIVOS ESTIMAD. Y PROVIS. (CP)</c:v>
                </c:pt>
                <c:pt idx="5">
                  <c:v>27 DIFERIDOS (CP)</c:v>
                </c:pt>
              </c:strCache>
            </c:strRef>
          </c:cat>
          <c:val>
            <c:numRef>
              <c:f>'Gráficas 2013'!$E$139:$E$144</c:f>
              <c:numCache>
                <c:formatCode>0.00%</c:formatCode>
                <c:ptCount val="6"/>
                <c:pt idx="0">
                  <c:v>4.7272422755019992E-2</c:v>
                </c:pt>
                <c:pt idx="1">
                  <c:v>0.7088239241750578</c:v>
                </c:pt>
                <c:pt idx="2">
                  <c:v>7.6250773774615727E-2</c:v>
                </c:pt>
                <c:pt idx="3">
                  <c:v>6.2082763134136167E-2</c:v>
                </c:pt>
                <c:pt idx="4">
                  <c:v>9.6745929767151392E-2</c:v>
                </c:pt>
                <c:pt idx="5">
                  <c:v>1.4312490239204065E-2</c:v>
                </c:pt>
              </c:numCache>
            </c:numRef>
          </c:val>
        </c:ser>
        <c:dLbls>
          <c:showLegendKey val="0"/>
          <c:showVal val="0"/>
          <c:showCatName val="0"/>
          <c:showSerName val="0"/>
          <c:showPercent val="1"/>
          <c:showBubbleSize val="0"/>
          <c:showLeaderLines val="0"/>
        </c:dLbls>
        <c:firstSliceAng val="0"/>
      </c:pieChart>
    </c:plotArea>
    <c:legend>
      <c:legendPos val="r"/>
      <c:layout>
        <c:manualLayout>
          <c:xMode val="edge"/>
          <c:yMode val="edge"/>
          <c:x val="0.55053976343142752"/>
          <c:y val="0.18195355751761624"/>
          <c:w val="0.42824007741737852"/>
          <c:h val="0.77680859154088611"/>
        </c:manualLayout>
      </c:layout>
      <c:overlay val="0"/>
      <c:txPr>
        <a:bodyPr/>
        <a:lstStyle/>
        <a:p>
          <a:pPr>
            <a:defRPr lang="es-CO" sz="900">
              <a:latin typeface="Times New Roman" pitchFamily="18" charset="0"/>
              <a:cs typeface="Times New Roman" pitchFamily="18" charset="0"/>
            </a:defRPr>
          </a:pPr>
          <a:endParaRPr lang="es-CO"/>
        </a:p>
      </c:txPr>
    </c:legend>
    <c:plotVisOnly val="1"/>
    <c:dispBlanksAs val="zero"/>
    <c:showDLblsOverMax val="0"/>
  </c:chart>
  <c:printSettings>
    <c:headerFooter/>
    <c:pageMargins b="0.75000000000000211" l="0.70000000000000062" r="0.70000000000000062" t="0.75000000000000211"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16" fmlaLink="$B$15" fmlaRange="'[3]Proyección Ventas'!$B$27:$K$30" noThreeD="1" sel="0" val="0"/>
</file>

<file path=xl/ctrlProps/ctrlProp2.xml><?xml version="1.0" encoding="utf-8"?>
<formControlPr xmlns="http://schemas.microsoft.com/office/spreadsheetml/2009/9/main" objectType="Spin" dx="22" fmlaLink="$B$19" max="7" page="10" val="3"/>
</file>

<file path=xl/ctrlProps/ctrlProp3.xml><?xml version="1.0" encoding="utf-8"?>
<formControlPr xmlns="http://schemas.microsoft.com/office/spreadsheetml/2009/9/main" objectType="Spin" dx="22" fmlaLink="$B$19" max="7" page="10" val="3"/>
</file>

<file path=xl/ctrlProps/ctrlProp4.xml><?xml version="1.0" encoding="utf-8"?>
<formControlPr xmlns="http://schemas.microsoft.com/office/spreadsheetml/2009/9/main" objectType="Drop" dropStyle="combo" dx="16" fmlaLink="$E$33" fmlaRange="Betas!$B$2:$I$96" noThreeD="1" sel="46" val="45"/>
</file>

<file path=xl/ctrlProps/ctrlProp5.xml><?xml version="1.0" encoding="utf-8"?>
<formControlPr xmlns="http://schemas.microsoft.com/office/spreadsheetml/2009/9/main" objectType="Drop" dropStyle="combo" dx="22" fmlaLink="#REF!" fmlaRange="'[4]BETA EMERGENTES'!$B$2:$I$96" noThreeD="1" sel="0" val="0"/>
</file>

<file path=xl/drawings/_rels/drawing1.xml.rels><?xml version="1.0" encoding="UTF-8" standalone="yes"?>
<Relationships xmlns="http://schemas.openxmlformats.org/package/2006/relationships"><Relationship Id="rId3" Type="http://schemas.openxmlformats.org/officeDocument/2006/relationships/hyperlink" Target="#'Descripci&#243;n de la compa&#241;&#237;a'!A1"/><Relationship Id="rId7" Type="http://schemas.openxmlformats.org/officeDocument/2006/relationships/hyperlink" Target="#'TASA DESCUENTO'!A1"/><Relationship Id="rId2" Type="http://schemas.openxmlformats.org/officeDocument/2006/relationships/hyperlink" Target="#'Informe del Sector '!A1"/><Relationship Id="rId1" Type="http://schemas.openxmlformats.org/officeDocument/2006/relationships/image" Target="../media/image1.jpeg"/><Relationship Id="rId6" Type="http://schemas.openxmlformats.org/officeDocument/2006/relationships/hyperlink" Target="#'Empresa respecto al Sector '!A1"/><Relationship Id="rId5" Type="http://schemas.openxmlformats.org/officeDocument/2006/relationships/hyperlink" Target="#'Estados Financieros AC Nielsen '!A1"/><Relationship Id="rId4" Type="http://schemas.openxmlformats.org/officeDocument/2006/relationships/hyperlink" Target="#'Comparaci&#243;n de indicadores'!A1"/></Relationships>
</file>

<file path=xl/drawings/_rels/drawing10.xml.rels><?xml version="1.0" encoding="UTF-8" standalone="yes"?>
<Relationships xmlns="http://schemas.openxmlformats.org/package/2006/relationships"><Relationship Id="rId1" Type="http://schemas.openxmlformats.org/officeDocument/2006/relationships/hyperlink" Target="#Indice!A1"/></Relationships>
</file>

<file path=xl/drawings/_rels/drawing11.xml.rels><?xml version="1.0" encoding="UTF-8" standalone="yes"?>
<Relationships xmlns="http://schemas.openxmlformats.org/package/2006/relationships"><Relationship Id="rId1" Type="http://schemas.openxmlformats.org/officeDocument/2006/relationships/hyperlink" Target="#Indice!A1"/></Relationships>
</file>

<file path=xl/drawings/_rels/drawing12.xml.rels><?xml version="1.0" encoding="UTF-8" standalone="yes"?>
<Relationships xmlns="http://schemas.openxmlformats.org/package/2006/relationships"><Relationship Id="rId1" Type="http://schemas.openxmlformats.org/officeDocument/2006/relationships/hyperlink" Target="#Indice!A1"/></Relationships>
</file>

<file path=xl/drawings/_rels/drawing13.xml.rels><?xml version="1.0" encoding="UTF-8" standalone="yes"?>
<Relationships xmlns="http://schemas.openxmlformats.org/package/2006/relationships"><Relationship Id="rId1" Type="http://schemas.openxmlformats.org/officeDocument/2006/relationships/hyperlink" Target="#Indice!A1"/></Relationships>
</file>

<file path=xl/drawings/_rels/drawing14.xml.rels><?xml version="1.0" encoding="UTF-8" standalone="yes"?>
<Relationships xmlns="http://schemas.openxmlformats.org/package/2006/relationships"><Relationship Id="rId1" Type="http://schemas.openxmlformats.org/officeDocument/2006/relationships/hyperlink" Target="#Indice!A1"/></Relationships>
</file>

<file path=xl/drawings/_rels/drawing15.xml.rels><?xml version="1.0" encoding="UTF-8" standalone="yes"?>
<Relationships xmlns="http://schemas.openxmlformats.org/package/2006/relationships"><Relationship Id="rId1" Type="http://schemas.openxmlformats.org/officeDocument/2006/relationships/hyperlink" Target="#Indice!A1"/></Relationships>
</file>

<file path=xl/drawings/_rels/drawing16.xml.rels><?xml version="1.0" encoding="UTF-8" standalone="yes"?>
<Relationships xmlns="http://schemas.openxmlformats.org/package/2006/relationships"><Relationship Id="rId8" Type="http://schemas.openxmlformats.org/officeDocument/2006/relationships/chart" Target="../charts/chart12.xml"/><Relationship Id="rId13" Type="http://schemas.openxmlformats.org/officeDocument/2006/relationships/chart" Target="../charts/chart17.xml"/><Relationship Id="rId3" Type="http://schemas.openxmlformats.org/officeDocument/2006/relationships/chart" Target="../charts/chart7.xml"/><Relationship Id="rId7" Type="http://schemas.openxmlformats.org/officeDocument/2006/relationships/chart" Target="../charts/chart11.xml"/><Relationship Id="rId12" Type="http://schemas.openxmlformats.org/officeDocument/2006/relationships/chart" Target="../charts/chart16.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11" Type="http://schemas.openxmlformats.org/officeDocument/2006/relationships/chart" Target="../charts/chart15.xml"/><Relationship Id="rId5" Type="http://schemas.openxmlformats.org/officeDocument/2006/relationships/chart" Target="../charts/chart9.xml"/><Relationship Id="rId10" Type="http://schemas.openxmlformats.org/officeDocument/2006/relationships/chart" Target="../charts/chart14.xml"/><Relationship Id="rId4" Type="http://schemas.openxmlformats.org/officeDocument/2006/relationships/chart" Target="../charts/chart8.xml"/><Relationship Id="rId9" Type="http://schemas.openxmlformats.org/officeDocument/2006/relationships/chart" Target="../charts/chart13.xml"/><Relationship Id="rId14" Type="http://schemas.openxmlformats.org/officeDocument/2006/relationships/chart" Target="../charts/chart18.xml"/></Relationships>
</file>

<file path=xl/drawings/_rels/drawing17.xml.rels><?xml version="1.0" encoding="UTF-8" standalone="yes"?>
<Relationships xmlns="http://schemas.openxmlformats.org/package/2006/relationships"><Relationship Id="rId8" Type="http://schemas.openxmlformats.org/officeDocument/2006/relationships/chart" Target="../charts/chart25.xml"/><Relationship Id="rId3" Type="http://schemas.openxmlformats.org/officeDocument/2006/relationships/chart" Target="../charts/chart20.xml"/><Relationship Id="rId7" Type="http://schemas.openxmlformats.org/officeDocument/2006/relationships/chart" Target="../charts/chart24.xml"/><Relationship Id="rId2" Type="http://schemas.openxmlformats.org/officeDocument/2006/relationships/chart" Target="../charts/chart19.xml"/><Relationship Id="rId1" Type="http://schemas.openxmlformats.org/officeDocument/2006/relationships/hyperlink" Target="#Indice!A1"/><Relationship Id="rId6" Type="http://schemas.openxmlformats.org/officeDocument/2006/relationships/chart" Target="../charts/chart23.xml"/><Relationship Id="rId5" Type="http://schemas.openxmlformats.org/officeDocument/2006/relationships/chart" Target="../charts/chart22.xml"/><Relationship Id="rId4" Type="http://schemas.openxmlformats.org/officeDocument/2006/relationships/chart" Target="../charts/chart21.xml"/></Relationships>
</file>

<file path=xl/drawings/_rels/drawing18.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Indice!A1"/></Relationships>
</file>

<file path=xl/drawings/_rels/drawing20.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8" Type="http://schemas.openxmlformats.org/officeDocument/2006/relationships/image" Target="../media/image14.png"/><Relationship Id="rId3" Type="http://schemas.openxmlformats.org/officeDocument/2006/relationships/image" Target="../media/image9.png"/><Relationship Id="rId7" Type="http://schemas.openxmlformats.org/officeDocument/2006/relationships/image" Target="../media/image13.png"/><Relationship Id="rId2" Type="http://schemas.openxmlformats.org/officeDocument/2006/relationships/image" Target="../media/image8.png"/><Relationship Id="rId1" Type="http://schemas.openxmlformats.org/officeDocument/2006/relationships/image" Target="../media/image7.png"/><Relationship Id="rId6" Type="http://schemas.openxmlformats.org/officeDocument/2006/relationships/image" Target="../media/image12.png"/><Relationship Id="rId5" Type="http://schemas.openxmlformats.org/officeDocument/2006/relationships/image" Target="../media/image11.png"/><Relationship Id="rId10" Type="http://schemas.openxmlformats.org/officeDocument/2006/relationships/image" Target="../media/image16.png"/><Relationship Id="rId4" Type="http://schemas.openxmlformats.org/officeDocument/2006/relationships/image" Target="../media/image10.png"/><Relationship Id="rId9" Type="http://schemas.openxmlformats.org/officeDocument/2006/relationships/image" Target="../media/image15.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Indice!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hyperlink" Target="#Indice!A1"/></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hyperlink" Target="#Indice!A1"/><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4</xdr:col>
      <xdr:colOff>740229</xdr:colOff>
      <xdr:row>12</xdr:row>
      <xdr:rowOff>157841</xdr:rowOff>
    </xdr:from>
    <xdr:to>
      <xdr:col>7</xdr:col>
      <xdr:colOff>721179</xdr:colOff>
      <xdr:row>18</xdr:row>
      <xdr:rowOff>148316</xdr:rowOff>
    </xdr:to>
    <xdr:pic>
      <xdr:nvPicPr>
        <xdr:cNvPr id="11" name="10 Imagen" descr="http://www.iprofesional.com/adjuntos/jpg/2012/05/360990.jpg"/>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439" t="25053" r="5151" b="30911"/>
        <a:stretch/>
      </xdr:blipFill>
      <xdr:spPr bwMode="auto">
        <a:xfrm>
          <a:off x="3788229" y="3328305"/>
          <a:ext cx="2266950" cy="1133475"/>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a:ext uri="{53640926-AAD7-44D8-BBD7-CCE9431645EC}">
            <a14:shadowObscured xmlns:a14="http://schemas.microsoft.com/office/drawing/2010/main"/>
          </a:ext>
        </a:extLst>
      </xdr:spPr>
    </xdr:pic>
    <xdr:clientData/>
  </xdr:twoCellAnchor>
  <xdr:twoCellAnchor>
    <xdr:from>
      <xdr:col>0</xdr:col>
      <xdr:colOff>596899</xdr:colOff>
      <xdr:row>7</xdr:row>
      <xdr:rowOff>65089</xdr:rowOff>
    </xdr:from>
    <xdr:to>
      <xdr:col>4</xdr:col>
      <xdr:colOff>134937</xdr:colOff>
      <xdr:row>12</xdr:row>
      <xdr:rowOff>7947</xdr:rowOff>
    </xdr:to>
    <xdr:sp macro="" textlink="">
      <xdr:nvSpPr>
        <xdr:cNvPr id="2" name="1 Rectángulo redondeado">
          <a:hlinkClick xmlns:r="http://schemas.openxmlformats.org/officeDocument/2006/relationships" r:id="rId2"/>
        </xdr:cNvPr>
        <xdr:cNvSpPr/>
      </xdr:nvSpPr>
      <xdr:spPr>
        <a:xfrm>
          <a:off x="596899" y="1287464"/>
          <a:ext cx="2586038" cy="895358"/>
        </a:xfrm>
        <a:prstGeom prst="roundRect">
          <a:avLst/>
        </a:prstGeom>
        <a:solidFill>
          <a:schemeClr val="bg1">
            <a:lumMod val="85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800">
              <a:solidFill>
                <a:schemeClr val="tx2">
                  <a:lumMod val="50000"/>
                </a:schemeClr>
              </a:solidFill>
              <a:latin typeface="Arial" pitchFamily="34" charset="0"/>
              <a:cs typeface="Arial" pitchFamily="34" charset="0"/>
            </a:rPr>
            <a:t>Informe</a:t>
          </a:r>
          <a:r>
            <a:rPr lang="es-CO" sz="1800" baseline="0">
              <a:solidFill>
                <a:schemeClr val="tx2">
                  <a:lumMod val="50000"/>
                </a:schemeClr>
              </a:solidFill>
              <a:latin typeface="Arial" pitchFamily="34" charset="0"/>
              <a:cs typeface="Arial" pitchFamily="34" charset="0"/>
            </a:rPr>
            <a:t> Sectorial  </a:t>
          </a:r>
          <a:endParaRPr lang="es-CO" sz="1800">
            <a:solidFill>
              <a:schemeClr val="tx2">
                <a:lumMod val="50000"/>
              </a:schemeClr>
            </a:solidFill>
            <a:latin typeface="Arial" pitchFamily="34" charset="0"/>
            <a:cs typeface="Arial" pitchFamily="34" charset="0"/>
          </a:endParaRPr>
        </a:p>
      </xdr:txBody>
    </xdr:sp>
    <xdr:clientData/>
  </xdr:twoCellAnchor>
  <xdr:twoCellAnchor>
    <xdr:from>
      <xdr:col>0</xdr:col>
      <xdr:colOff>622295</xdr:colOff>
      <xdr:row>12</xdr:row>
      <xdr:rowOff>182562</xdr:rowOff>
    </xdr:from>
    <xdr:to>
      <xdr:col>4</xdr:col>
      <xdr:colOff>142872</xdr:colOff>
      <xdr:row>17</xdr:row>
      <xdr:rowOff>111127</xdr:rowOff>
    </xdr:to>
    <xdr:sp macro="" textlink="">
      <xdr:nvSpPr>
        <xdr:cNvPr id="4" name="3 Rectángulo redondeado">
          <a:hlinkClick xmlns:r="http://schemas.openxmlformats.org/officeDocument/2006/relationships" r:id="rId3"/>
        </xdr:cNvPr>
        <xdr:cNvSpPr/>
      </xdr:nvSpPr>
      <xdr:spPr>
        <a:xfrm>
          <a:off x="622295" y="2357437"/>
          <a:ext cx="2568577" cy="881065"/>
        </a:xfrm>
        <a:prstGeom prst="roundRect">
          <a:avLst/>
        </a:prstGeom>
        <a:solidFill>
          <a:schemeClr val="bg1">
            <a:lumMod val="85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800">
              <a:solidFill>
                <a:schemeClr val="tx2">
                  <a:lumMod val="50000"/>
                </a:schemeClr>
              </a:solidFill>
              <a:latin typeface="Arial" pitchFamily="34" charset="0"/>
              <a:cs typeface="Arial" pitchFamily="34" charset="0"/>
            </a:rPr>
            <a:t>Descripción de la Compañía</a:t>
          </a:r>
        </a:p>
      </xdr:txBody>
    </xdr:sp>
    <xdr:clientData/>
  </xdr:twoCellAnchor>
  <xdr:twoCellAnchor>
    <xdr:from>
      <xdr:col>8</xdr:col>
      <xdr:colOff>342535</xdr:colOff>
      <xdr:row>13</xdr:row>
      <xdr:rowOff>13310</xdr:rowOff>
    </xdr:from>
    <xdr:to>
      <xdr:col>11</xdr:col>
      <xdr:colOff>683847</xdr:colOff>
      <xdr:row>17</xdr:row>
      <xdr:rowOff>103798</xdr:rowOff>
    </xdr:to>
    <xdr:sp macro="" textlink="">
      <xdr:nvSpPr>
        <xdr:cNvPr id="5" name="4 Rectángulo redondeado">
          <a:hlinkClick xmlns:r="http://schemas.openxmlformats.org/officeDocument/2006/relationships" r:id="rId4"/>
        </xdr:cNvPr>
        <xdr:cNvSpPr/>
      </xdr:nvSpPr>
      <xdr:spPr>
        <a:xfrm>
          <a:off x="6438535" y="2372579"/>
          <a:ext cx="2627312" cy="852488"/>
        </a:xfrm>
        <a:prstGeom prst="roundRect">
          <a:avLst/>
        </a:prstGeom>
        <a:solidFill>
          <a:schemeClr val="bg1">
            <a:lumMod val="85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800">
              <a:solidFill>
                <a:schemeClr val="tx2">
                  <a:lumMod val="50000"/>
                </a:schemeClr>
              </a:solidFill>
              <a:latin typeface="Arial" pitchFamily="34" charset="0"/>
              <a:cs typeface="Arial" pitchFamily="34" charset="0"/>
            </a:rPr>
            <a:t>Comparación de Indicadores</a:t>
          </a:r>
          <a:r>
            <a:rPr lang="es-CO" sz="1800" baseline="0">
              <a:solidFill>
                <a:schemeClr val="tx2">
                  <a:lumMod val="50000"/>
                </a:schemeClr>
              </a:solidFill>
              <a:latin typeface="Arial" pitchFamily="34" charset="0"/>
              <a:cs typeface="Arial" pitchFamily="34" charset="0"/>
            </a:rPr>
            <a:t> </a:t>
          </a:r>
          <a:endParaRPr lang="es-CO" sz="1800">
            <a:solidFill>
              <a:schemeClr val="tx2">
                <a:lumMod val="50000"/>
              </a:schemeClr>
            </a:solidFill>
            <a:latin typeface="Arial" pitchFamily="34" charset="0"/>
            <a:cs typeface="Arial" pitchFamily="34" charset="0"/>
          </a:endParaRPr>
        </a:p>
      </xdr:txBody>
    </xdr:sp>
    <xdr:clientData/>
  </xdr:twoCellAnchor>
  <xdr:twoCellAnchor>
    <xdr:from>
      <xdr:col>8</xdr:col>
      <xdr:colOff>345102</xdr:colOff>
      <xdr:row>7</xdr:row>
      <xdr:rowOff>87923</xdr:rowOff>
    </xdr:from>
    <xdr:to>
      <xdr:col>11</xdr:col>
      <xdr:colOff>659424</xdr:colOff>
      <xdr:row>12</xdr:row>
      <xdr:rowOff>16486</xdr:rowOff>
    </xdr:to>
    <xdr:sp macro="" textlink="">
      <xdr:nvSpPr>
        <xdr:cNvPr id="6" name="5 Rectángulo redondeado">
          <a:hlinkClick xmlns:r="http://schemas.openxmlformats.org/officeDocument/2006/relationships" r:id="rId5"/>
        </xdr:cNvPr>
        <xdr:cNvSpPr/>
      </xdr:nvSpPr>
      <xdr:spPr>
        <a:xfrm>
          <a:off x="6441102" y="1304192"/>
          <a:ext cx="2600322" cy="881063"/>
        </a:xfrm>
        <a:prstGeom prst="roundRect">
          <a:avLst/>
        </a:prstGeom>
        <a:solidFill>
          <a:schemeClr val="bg1">
            <a:lumMod val="85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800">
              <a:solidFill>
                <a:schemeClr val="tx2">
                  <a:lumMod val="50000"/>
                </a:schemeClr>
              </a:solidFill>
              <a:latin typeface="Arial" pitchFamily="34" charset="0"/>
              <a:cs typeface="Arial" pitchFamily="34" charset="0"/>
            </a:rPr>
            <a:t>Estados</a:t>
          </a:r>
          <a:r>
            <a:rPr lang="es-CO" sz="1800" baseline="0">
              <a:solidFill>
                <a:schemeClr val="tx2">
                  <a:lumMod val="50000"/>
                </a:schemeClr>
              </a:solidFill>
              <a:latin typeface="Arial" pitchFamily="34" charset="0"/>
              <a:cs typeface="Arial" pitchFamily="34" charset="0"/>
            </a:rPr>
            <a:t> Financieros de la Compañía</a:t>
          </a:r>
          <a:endParaRPr lang="es-CO" sz="1800">
            <a:solidFill>
              <a:schemeClr val="tx2">
                <a:lumMod val="50000"/>
              </a:schemeClr>
            </a:solidFill>
            <a:latin typeface="Arial" pitchFamily="34" charset="0"/>
            <a:cs typeface="Arial" pitchFamily="34" charset="0"/>
          </a:endParaRPr>
        </a:p>
      </xdr:txBody>
    </xdr:sp>
    <xdr:clientData/>
  </xdr:twoCellAnchor>
  <xdr:twoCellAnchor>
    <xdr:from>
      <xdr:col>0</xdr:col>
      <xdr:colOff>632959</xdr:colOff>
      <xdr:row>18</xdr:row>
      <xdr:rowOff>65314</xdr:rowOff>
    </xdr:from>
    <xdr:to>
      <xdr:col>4</xdr:col>
      <xdr:colOff>108857</xdr:colOff>
      <xdr:row>22</xdr:row>
      <xdr:rowOff>125446</xdr:rowOff>
    </xdr:to>
    <xdr:sp macro="" textlink="">
      <xdr:nvSpPr>
        <xdr:cNvPr id="7" name="6 Rectángulo redondeado">
          <a:hlinkClick xmlns:r="http://schemas.openxmlformats.org/officeDocument/2006/relationships" r:id="rId6"/>
        </xdr:cNvPr>
        <xdr:cNvSpPr/>
      </xdr:nvSpPr>
      <xdr:spPr>
        <a:xfrm>
          <a:off x="632959" y="4267200"/>
          <a:ext cx="2610984" cy="800360"/>
        </a:xfrm>
        <a:prstGeom prst="roundRect">
          <a:avLst/>
        </a:prstGeom>
        <a:solidFill>
          <a:schemeClr val="bg1">
            <a:lumMod val="85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800">
              <a:solidFill>
                <a:schemeClr val="tx2">
                  <a:lumMod val="50000"/>
                </a:schemeClr>
              </a:solidFill>
              <a:latin typeface="Arial" pitchFamily="34" charset="0"/>
              <a:cs typeface="Arial" pitchFamily="34" charset="0"/>
            </a:rPr>
            <a:t>Empresa </a:t>
          </a:r>
          <a:r>
            <a:rPr lang="es-CO" sz="1800" baseline="0">
              <a:solidFill>
                <a:schemeClr val="tx2">
                  <a:lumMod val="50000"/>
                </a:schemeClr>
              </a:solidFill>
              <a:latin typeface="Arial" pitchFamily="34" charset="0"/>
              <a:cs typeface="Arial" pitchFamily="34" charset="0"/>
            </a:rPr>
            <a:t>respecto al Sector</a:t>
          </a:r>
          <a:endParaRPr lang="es-CO" sz="1800">
            <a:solidFill>
              <a:schemeClr val="tx2">
                <a:lumMod val="50000"/>
              </a:schemeClr>
            </a:solidFill>
            <a:latin typeface="Arial" pitchFamily="34" charset="0"/>
            <a:cs typeface="Arial" pitchFamily="34" charset="0"/>
          </a:endParaRPr>
        </a:p>
      </xdr:txBody>
    </xdr:sp>
    <xdr:clientData/>
  </xdr:twoCellAnchor>
  <xdr:twoCellAnchor>
    <xdr:from>
      <xdr:col>0</xdr:col>
      <xdr:colOff>0</xdr:colOff>
      <xdr:row>0</xdr:row>
      <xdr:rowOff>85725</xdr:rowOff>
    </xdr:from>
    <xdr:to>
      <xdr:col>12</xdr:col>
      <xdr:colOff>684457</xdr:colOff>
      <xdr:row>24</xdr:row>
      <xdr:rowOff>125413</xdr:rowOff>
    </xdr:to>
    <xdr:sp macro="" textlink="">
      <xdr:nvSpPr>
        <xdr:cNvPr id="3" name="2 Rectángulo redondeado"/>
        <xdr:cNvSpPr/>
      </xdr:nvSpPr>
      <xdr:spPr>
        <a:xfrm>
          <a:off x="0" y="85725"/>
          <a:ext cx="9828457" cy="4500563"/>
        </a:xfrm>
        <a:prstGeom prst="roundRect">
          <a:avLst/>
        </a:prstGeom>
        <a:no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oneCellAnchor>
    <xdr:from>
      <xdr:col>0</xdr:col>
      <xdr:colOff>638175</xdr:colOff>
      <xdr:row>0</xdr:row>
      <xdr:rowOff>161924</xdr:rowOff>
    </xdr:from>
    <xdr:ext cx="8486775" cy="923926"/>
    <xdr:sp macro="" textlink="">
      <xdr:nvSpPr>
        <xdr:cNvPr id="9" name="8 Rectángulo"/>
        <xdr:cNvSpPr/>
      </xdr:nvSpPr>
      <xdr:spPr>
        <a:xfrm>
          <a:off x="638175" y="161924"/>
          <a:ext cx="8486775" cy="923926"/>
        </a:xfrm>
        <a:prstGeom prst="rect">
          <a:avLst/>
        </a:prstGeom>
        <a:noFill/>
      </xdr:spPr>
      <xdr:txBody>
        <a:bodyPr wrap="square" lIns="91440" tIns="45720" rIns="91440" bIns="45720">
          <a:noAutofit/>
          <a:scene3d>
            <a:camera prst="orthographicFront">
              <a:rot lat="0" lon="0" rev="0"/>
            </a:camera>
            <a:lightRig rig="contrasting" dir="t">
              <a:rot lat="0" lon="0" rev="4500000"/>
            </a:lightRig>
          </a:scene3d>
          <a:sp3d contourW="6350" prstMaterial="metal">
            <a:bevelT w="127000" h="31750" prst="relaxedInset"/>
            <a:contourClr>
              <a:schemeClr val="accent1">
                <a:shade val="75000"/>
              </a:schemeClr>
            </a:contourClr>
          </a:sp3d>
        </a:bodyPr>
        <a:lstStyle/>
        <a:p>
          <a:pPr algn="ctr"/>
          <a:r>
            <a:rPr lang="es-ES" sz="4000" b="1" cap="all" spc="0">
              <a:ln w="0"/>
              <a:gradFill flip="none">
                <a:gsLst>
                  <a:gs pos="0">
                    <a:schemeClr val="accent1">
                      <a:tint val="75000"/>
                      <a:shade val="75000"/>
                      <a:satMod val="170000"/>
                    </a:schemeClr>
                  </a:gs>
                  <a:gs pos="49000">
                    <a:schemeClr val="accent1">
                      <a:tint val="88000"/>
                      <a:shade val="65000"/>
                      <a:satMod val="172000"/>
                    </a:schemeClr>
                  </a:gs>
                  <a:gs pos="50000">
                    <a:schemeClr val="accent1">
                      <a:shade val="65000"/>
                      <a:satMod val="130000"/>
                    </a:schemeClr>
                  </a:gs>
                  <a:gs pos="92000">
                    <a:schemeClr val="accent1">
                      <a:shade val="50000"/>
                      <a:satMod val="120000"/>
                    </a:schemeClr>
                  </a:gs>
                  <a:gs pos="100000">
                    <a:schemeClr val="accent1">
                      <a:shade val="48000"/>
                      <a:satMod val="120000"/>
                    </a:schemeClr>
                  </a:gs>
                </a:gsLst>
                <a:lin ang="5400000"/>
              </a:gradFill>
              <a:effectLst>
                <a:reflection blurRad="12700" stA="50000" endPos="50000" dist="5000" dir="5400000" sy="-100000" rotWithShape="0"/>
              </a:effectLst>
            </a:rPr>
            <a:t>AC Nielsen de Colombia Ltda.</a:t>
          </a:r>
        </a:p>
      </xdr:txBody>
    </xdr:sp>
    <xdr:clientData/>
  </xdr:oneCellAnchor>
  <xdr:twoCellAnchor>
    <xdr:from>
      <xdr:col>8</xdr:col>
      <xdr:colOff>391886</xdr:colOff>
      <xdr:row>18</xdr:row>
      <xdr:rowOff>54429</xdr:rowOff>
    </xdr:from>
    <xdr:to>
      <xdr:col>11</xdr:col>
      <xdr:colOff>651555</xdr:colOff>
      <xdr:row>22</xdr:row>
      <xdr:rowOff>114561</xdr:rowOff>
    </xdr:to>
    <xdr:sp macro="" textlink="">
      <xdr:nvSpPr>
        <xdr:cNvPr id="10" name="9 Rectángulo redondeado">
          <a:hlinkClick xmlns:r="http://schemas.openxmlformats.org/officeDocument/2006/relationships" r:id="rId7"/>
        </xdr:cNvPr>
        <xdr:cNvSpPr/>
      </xdr:nvSpPr>
      <xdr:spPr>
        <a:xfrm>
          <a:off x="6662057" y="4256315"/>
          <a:ext cx="2610984" cy="800360"/>
        </a:xfrm>
        <a:prstGeom prst="roundRect">
          <a:avLst/>
        </a:prstGeom>
        <a:solidFill>
          <a:schemeClr val="bg1">
            <a:lumMod val="85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800">
              <a:solidFill>
                <a:schemeClr val="tx2">
                  <a:lumMod val="50000"/>
                </a:schemeClr>
              </a:solidFill>
              <a:latin typeface="Arial" pitchFamily="34" charset="0"/>
              <a:cs typeface="Arial" pitchFamily="34" charset="0"/>
            </a:rPr>
            <a:t>Costo de</a:t>
          </a:r>
          <a:r>
            <a:rPr lang="es-CO" sz="1800" baseline="0">
              <a:solidFill>
                <a:schemeClr val="tx2">
                  <a:lumMod val="50000"/>
                </a:schemeClr>
              </a:solidFill>
              <a:latin typeface="Arial" pitchFamily="34" charset="0"/>
              <a:cs typeface="Arial" pitchFamily="34" charset="0"/>
            </a:rPr>
            <a:t> Capital</a:t>
          </a:r>
          <a:endParaRPr lang="es-CO" sz="1800">
            <a:solidFill>
              <a:schemeClr val="tx2">
                <a:lumMod val="50000"/>
              </a:schemeClr>
            </a:solidFill>
            <a:latin typeface="Arial" pitchFamily="34" charset="0"/>
            <a:cs typeface="Arial"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119061</xdr:colOff>
      <xdr:row>0</xdr:row>
      <xdr:rowOff>34018</xdr:rowOff>
    </xdr:from>
    <xdr:to>
      <xdr:col>9</xdr:col>
      <xdr:colOff>536449</xdr:colOff>
      <xdr:row>1</xdr:row>
      <xdr:rowOff>141136</xdr:rowOff>
    </xdr:to>
    <xdr:sp macro="" textlink="">
      <xdr:nvSpPr>
        <xdr:cNvPr id="2" name="1 Flecha curvada hacia la izquierda">
          <a:hlinkClick xmlns:r="http://schemas.openxmlformats.org/officeDocument/2006/relationships" r:id="rId1"/>
        </xdr:cNvPr>
        <xdr:cNvSpPr/>
      </xdr:nvSpPr>
      <xdr:spPr>
        <a:xfrm>
          <a:off x="8079240" y="34018"/>
          <a:ext cx="417388" cy="438792"/>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107577</xdr:colOff>
      <xdr:row>1</xdr:row>
      <xdr:rowOff>44823</xdr:rowOff>
    </xdr:from>
    <xdr:to>
      <xdr:col>11</xdr:col>
      <xdr:colOff>550365</xdr:colOff>
      <xdr:row>3</xdr:row>
      <xdr:rowOff>104023</xdr:rowOff>
    </xdr:to>
    <xdr:sp macro="" textlink="">
      <xdr:nvSpPr>
        <xdr:cNvPr id="2" name="1 Flecha curvada hacia la izquierda">
          <a:hlinkClick xmlns:r="http://schemas.openxmlformats.org/officeDocument/2006/relationships" r:id="rId1"/>
        </xdr:cNvPr>
        <xdr:cNvSpPr/>
      </xdr:nvSpPr>
      <xdr:spPr>
        <a:xfrm>
          <a:off x="9870702" y="244848"/>
          <a:ext cx="442788" cy="440200"/>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543887</xdr:colOff>
      <xdr:row>0</xdr:row>
      <xdr:rowOff>31750</xdr:rowOff>
    </xdr:from>
    <xdr:to>
      <xdr:col>13</xdr:col>
      <xdr:colOff>199275</xdr:colOff>
      <xdr:row>2</xdr:row>
      <xdr:rowOff>49068</xdr:rowOff>
    </xdr:to>
    <xdr:sp macro="" textlink="">
      <xdr:nvSpPr>
        <xdr:cNvPr id="2" name="1 Flecha curvada hacia la izquierda">
          <a:hlinkClick xmlns:r="http://schemas.openxmlformats.org/officeDocument/2006/relationships" r:id="rId1"/>
        </xdr:cNvPr>
        <xdr:cNvSpPr/>
      </xdr:nvSpPr>
      <xdr:spPr>
        <a:xfrm>
          <a:off x="11624637" y="31750"/>
          <a:ext cx="417388" cy="366568"/>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304800</xdr:colOff>
      <xdr:row>0</xdr:row>
      <xdr:rowOff>76200</xdr:rowOff>
    </xdr:from>
    <xdr:to>
      <xdr:col>11</xdr:col>
      <xdr:colOff>722188</xdr:colOff>
      <xdr:row>2</xdr:row>
      <xdr:rowOff>114942</xdr:rowOff>
    </xdr:to>
    <xdr:sp macro="" textlink="">
      <xdr:nvSpPr>
        <xdr:cNvPr id="2" name="1 Flecha curvada hacia la izquierda">
          <a:hlinkClick xmlns:r="http://schemas.openxmlformats.org/officeDocument/2006/relationships" r:id="rId1"/>
        </xdr:cNvPr>
        <xdr:cNvSpPr/>
      </xdr:nvSpPr>
      <xdr:spPr>
        <a:xfrm>
          <a:off x="10258425" y="76200"/>
          <a:ext cx="417388" cy="438792"/>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264584</xdr:colOff>
      <xdr:row>0</xdr:row>
      <xdr:rowOff>105834</xdr:rowOff>
    </xdr:from>
    <xdr:to>
      <xdr:col>10</xdr:col>
      <xdr:colOff>681972</xdr:colOff>
      <xdr:row>2</xdr:row>
      <xdr:rowOff>144576</xdr:rowOff>
    </xdr:to>
    <xdr:sp macro="" textlink="">
      <xdr:nvSpPr>
        <xdr:cNvPr id="3" name="1 Flecha curvada hacia la izquierda">
          <a:hlinkClick xmlns:r="http://schemas.openxmlformats.org/officeDocument/2006/relationships" r:id="rId1"/>
        </xdr:cNvPr>
        <xdr:cNvSpPr/>
      </xdr:nvSpPr>
      <xdr:spPr>
        <a:xfrm>
          <a:off x="7055556" y="105834"/>
          <a:ext cx="417388" cy="453256"/>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153255</xdr:colOff>
      <xdr:row>0</xdr:row>
      <xdr:rowOff>0</xdr:rowOff>
    </xdr:from>
    <xdr:to>
      <xdr:col>9</xdr:col>
      <xdr:colOff>650875</xdr:colOff>
      <xdr:row>1</xdr:row>
      <xdr:rowOff>150812</xdr:rowOff>
    </xdr:to>
    <xdr:sp macro="" textlink="">
      <xdr:nvSpPr>
        <xdr:cNvPr id="2" name="1 Flecha curvada hacia la izquierda">
          <a:hlinkClick xmlns:r="http://schemas.openxmlformats.org/officeDocument/2006/relationships" r:id="rId1"/>
        </xdr:cNvPr>
        <xdr:cNvSpPr/>
      </xdr:nvSpPr>
      <xdr:spPr>
        <a:xfrm>
          <a:off x="5955568" y="0"/>
          <a:ext cx="497620" cy="349250"/>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304800</xdr:colOff>
      <xdr:row>90</xdr:row>
      <xdr:rowOff>161925</xdr:rowOff>
    </xdr:from>
    <xdr:to>
      <xdr:col>13</xdr:col>
      <xdr:colOff>276225</xdr:colOff>
      <xdr:row>100</xdr:row>
      <xdr:rowOff>47624</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314324</xdr:colOff>
      <xdr:row>102</xdr:row>
      <xdr:rowOff>28575</xdr:rowOff>
    </xdr:from>
    <xdr:to>
      <xdr:col>13</xdr:col>
      <xdr:colOff>304799</xdr:colOff>
      <xdr:row>109</xdr:row>
      <xdr:rowOff>47625</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323850</xdr:colOff>
      <xdr:row>109</xdr:row>
      <xdr:rowOff>180975</xdr:rowOff>
    </xdr:from>
    <xdr:to>
      <xdr:col>13</xdr:col>
      <xdr:colOff>133349</xdr:colOff>
      <xdr:row>116</xdr:row>
      <xdr:rowOff>33336</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190500</xdr:colOff>
      <xdr:row>119</xdr:row>
      <xdr:rowOff>161925</xdr:rowOff>
    </xdr:from>
    <xdr:to>
      <xdr:col>13</xdr:col>
      <xdr:colOff>79375</xdr:colOff>
      <xdr:row>126</xdr:row>
      <xdr:rowOff>147410</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333375</xdr:colOff>
      <xdr:row>137</xdr:row>
      <xdr:rowOff>34635</xdr:rowOff>
    </xdr:from>
    <xdr:to>
      <xdr:col>13</xdr:col>
      <xdr:colOff>294409</xdr:colOff>
      <xdr:row>144</xdr:row>
      <xdr:rowOff>181840</xdr:rowOff>
    </xdr:to>
    <xdr:graphicFrame macro="">
      <xdr:nvGraphicFramePr>
        <xdr:cNvPr id="11"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247650</xdr:colOff>
      <xdr:row>147</xdr:row>
      <xdr:rowOff>155864</xdr:rowOff>
    </xdr:from>
    <xdr:to>
      <xdr:col>13</xdr:col>
      <xdr:colOff>242454</xdr:colOff>
      <xdr:row>154</xdr:row>
      <xdr:rowOff>86591</xdr:rowOff>
    </xdr:to>
    <xdr:graphicFrame macro="">
      <xdr:nvGraphicFramePr>
        <xdr:cNvPr id="13"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157</xdr:row>
      <xdr:rowOff>0</xdr:rowOff>
    </xdr:from>
    <xdr:to>
      <xdr:col>7</xdr:col>
      <xdr:colOff>0</xdr:colOff>
      <xdr:row>171</xdr:row>
      <xdr:rowOff>76200</xdr:rowOff>
    </xdr:to>
    <xdr:graphicFrame macro="">
      <xdr:nvGraphicFramePr>
        <xdr:cNvPr id="1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187325</xdr:colOff>
      <xdr:row>15</xdr:row>
      <xdr:rowOff>161925</xdr:rowOff>
    </xdr:from>
    <xdr:to>
      <xdr:col>6</xdr:col>
      <xdr:colOff>752475</xdr:colOff>
      <xdr:row>30</xdr:row>
      <xdr:rowOff>47625</xdr:rowOff>
    </xdr:to>
    <xdr:graphicFrame macro="">
      <xdr:nvGraphicFramePr>
        <xdr:cNvPr id="15"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231775</xdr:colOff>
      <xdr:row>31</xdr:row>
      <xdr:rowOff>47625</xdr:rowOff>
    </xdr:from>
    <xdr:to>
      <xdr:col>7</xdr:col>
      <xdr:colOff>0</xdr:colOff>
      <xdr:row>45</xdr:row>
      <xdr:rowOff>123825</xdr:rowOff>
    </xdr:to>
    <xdr:graphicFrame macro="">
      <xdr:nvGraphicFramePr>
        <xdr:cNvPr id="1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300037</xdr:colOff>
      <xdr:row>46</xdr:row>
      <xdr:rowOff>106361</xdr:rowOff>
    </xdr:from>
    <xdr:to>
      <xdr:col>6</xdr:col>
      <xdr:colOff>723900</xdr:colOff>
      <xdr:row>60</xdr:row>
      <xdr:rowOff>182561</xdr:rowOff>
    </xdr:to>
    <xdr:graphicFrame macro="">
      <xdr:nvGraphicFramePr>
        <xdr:cNvPr id="17"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171450</xdr:colOff>
      <xdr:row>78</xdr:row>
      <xdr:rowOff>23813</xdr:rowOff>
    </xdr:from>
    <xdr:to>
      <xdr:col>6</xdr:col>
      <xdr:colOff>714375</xdr:colOff>
      <xdr:row>92</xdr:row>
      <xdr:rowOff>100013</xdr:rowOff>
    </xdr:to>
    <xdr:graphicFrame macro="">
      <xdr:nvGraphicFramePr>
        <xdr:cNvPr id="18" name="1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209549</xdr:colOff>
      <xdr:row>62</xdr:row>
      <xdr:rowOff>82550</xdr:rowOff>
    </xdr:from>
    <xdr:to>
      <xdr:col>6</xdr:col>
      <xdr:colOff>723899</xdr:colOff>
      <xdr:row>76</xdr:row>
      <xdr:rowOff>158750</xdr:rowOff>
    </xdr:to>
    <xdr:graphicFrame macro="">
      <xdr:nvGraphicFramePr>
        <xdr:cNvPr id="19" name="1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209550</xdr:colOff>
      <xdr:row>0</xdr:row>
      <xdr:rowOff>104775</xdr:rowOff>
    </xdr:from>
    <xdr:to>
      <xdr:col>6</xdr:col>
      <xdr:colOff>733425</xdr:colOff>
      <xdr:row>14</xdr:row>
      <xdr:rowOff>180975</xdr:rowOff>
    </xdr:to>
    <xdr:graphicFrame macro="">
      <xdr:nvGraphicFramePr>
        <xdr:cNvPr id="20" name="1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467591</xdr:colOff>
      <xdr:row>128</xdr:row>
      <xdr:rowOff>164523</xdr:rowOff>
    </xdr:from>
    <xdr:to>
      <xdr:col>13</xdr:col>
      <xdr:colOff>277090</xdr:colOff>
      <xdr:row>135</xdr:row>
      <xdr:rowOff>16883</xdr:rowOff>
    </xdr:to>
    <xdr:graphicFrame macro="">
      <xdr:nvGraphicFramePr>
        <xdr:cNvPr id="21"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6</xdr:col>
      <xdr:colOff>824345</xdr:colOff>
      <xdr:row>0</xdr:row>
      <xdr:rowOff>66675</xdr:rowOff>
    </xdr:from>
    <xdr:to>
      <xdr:col>6</xdr:col>
      <xdr:colOff>1241733</xdr:colOff>
      <xdr:row>2</xdr:row>
      <xdr:rowOff>47625</xdr:rowOff>
    </xdr:to>
    <xdr:sp macro="" textlink="">
      <xdr:nvSpPr>
        <xdr:cNvPr id="15" name="14 Flecha curvada hacia la izquierda">
          <a:hlinkClick xmlns:r="http://schemas.openxmlformats.org/officeDocument/2006/relationships" r:id="rId1"/>
        </xdr:cNvPr>
        <xdr:cNvSpPr/>
      </xdr:nvSpPr>
      <xdr:spPr>
        <a:xfrm>
          <a:off x="10054070" y="66675"/>
          <a:ext cx="417388" cy="361950"/>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twoCellAnchor>
    <xdr:from>
      <xdr:col>7</xdr:col>
      <xdr:colOff>342901</xdr:colOff>
      <xdr:row>0</xdr:row>
      <xdr:rowOff>9525</xdr:rowOff>
    </xdr:from>
    <xdr:to>
      <xdr:col>13</xdr:col>
      <xdr:colOff>23812</xdr:colOff>
      <xdr:row>12</xdr:row>
      <xdr:rowOff>178594</xdr:rowOff>
    </xdr:to>
    <xdr:graphicFrame macro="">
      <xdr:nvGraphicFramePr>
        <xdr:cNvPr id="19" name="1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257175</xdr:colOff>
      <xdr:row>14</xdr:row>
      <xdr:rowOff>95251</xdr:rowOff>
    </xdr:from>
    <xdr:to>
      <xdr:col>12</xdr:col>
      <xdr:colOff>666750</xdr:colOff>
      <xdr:row>29</xdr:row>
      <xdr:rowOff>142875</xdr:rowOff>
    </xdr:to>
    <xdr:graphicFrame macro="">
      <xdr:nvGraphicFramePr>
        <xdr:cNvPr id="22" name="2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309561</xdr:colOff>
      <xdr:row>30</xdr:row>
      <xdr:rowOff>80962</xdr:rowOff>
    </xdr:from>
    <xdr:to>
      <xdr:col>12</xdr:col>
      <xdr:colOff>714373</xdr:colOff>
      <xdr:row>45</xdr:row>
      <xdr:rowOff>90487</xdr:rowOff>
    </xdr:to>
    <xdr:graphicFrame macro="">
      <xdr:nvGraphicFramePr>
        <xdr:cNvPr id="24" name="2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552448</xdr:colOff>
      <xdr:row>46</xdr:row>
      <xdr:rowOff>100012</xdr:rowOff>
    </xdr:from>
    <xdr:to>
      <xdr:col>14</xdr:col>
      <xdr:colOff>200025</xdr:colOff>
      <xdr:row>65</xdr:row>
      <xdr:rowOff>171450</xdr:rowOff>
    </xdr:to>
    <xdr:graphicFrame macro="">
      <xdr:nvGraphicFramePr>
        <xdr:cNvPr id="25" name="2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511969</xdr:colOff>
      <xdr:row>66</xdr:row>
      <xdr:rowOff>100011</xdr:rowOff>
    </xdr:from>
    <xdr:to>
      <xdr:col>14</xdr:col>
      <xdr:colOff>214312</xdr:colOff>
      <xdr:row>77</xdr:row>
      <xdr:rowOff>123824</xdr:rowOff>
    </xdr:to>
    <xdr:graphicFrame macro="">
      <xdr:nvGraphicFramePr>
        <xdr:cNvPr id="26" name="2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561974</xdr:colOff>
      <xdr:row>78</xdr:row>
      <xdr:rowOff>152400</xdr:rowOff>
    </xdr:from>
    <xdr:to>
      <xdr:col>14</xdr:col>
      <xdr:colOff>273842</xdr:colOff>
      <xdr:row>94</xdr:row>
      <xdr:rowOff>19050</xdr:rowOff>
    </xdr:to>
    <xdr:graphicFrame macro="">
      <xdr:nvGraphicFramePr>
        <xdr:cNvPr id="27" name="2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971550</xdr:colOff>
      <xdr:row>96</xdr:row>
      <xdr:rowOff>80962</xdr:rowOff>
    </xdr:from>
    <xdr:to>
      <xdr:col>13</xdr:col>
      <xdr:colOff>161925</xdr:colOff>
      <xdr:row>110</xdr:row>
      <xdr:rowOff>119062</xdr:rowOff>
    </xdr:to>
    <xdr:graphicFrame macro="">
      <xdr:nvGraphicFramePr>
        <xdr:cNvPr id="28" name="2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188409</xdr:colOff>
      <xdr:row>0</xdr:row>
      <xdr:rowOff>27214</xdr:rowOff>
    </xdr:from>
    <xdr:to>
      <xdr:col>0</xdr:col>
      <xdr:colOff>188409</xdr:colOff>
      <xdr:row>4</xdr:row>
      <xdr:rowOff>130868</xdr:rowOff>
    </xdr:to>
    <xdr:pic>
      <xdr:nvPicPr>
        <xdr:cNvPr id="2"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188409" y="27214"/>
          <a:ext cx="0" cy="751354"/>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3</xdr:col>
      <xdr:colOff>4680857</xdr:colOff>
      <xdr:row>1</xdr:row>
      <xdr:rowOff>68036</xdr:rowOff>
    </xdr:from>
    <xdr:to>
      <xdr:col>4</xdr:col>
      <xdr:colOff>476249</xdr:colOff>
      <xdr:row>4</xdr:row>
      <xdr:rowOff>108857</xdr:rowOff>
    </xdr:to>
    <xdr:sp macro="" textlink="">
      <xdr:nvSpPr>
        <xdr:cNvPr id="3" name="Flecha izquierda 2">
          <a:hlinkClick xmlns:r="http://schemas.openxmlformats.org/officeDocument/2006/relationships" r:id="rId2"/>
        </xdr:cNvPr>
        <xdr:cNvSpPr/>
      </xdr:nvSpPr>
      <xdr:spPr bwMode="auto">
        <a:xfrm>
          <a:off x="7986032" y="229961"/>
          <a:ext cx="919842" cy="526596"/>
        </a:xfrm>
        <a:prstGeom prst="leftArrow">
          <a:avLst/>
        </a:prstGeom>
        <a:solidFill>
          <a:schemeClr val="accent1">
            <a:lumMod val="75000"/>
          </a:schemeClr>
        </a:solidFill>
        <a:ln>
          <a:headEnd type="none" w="med" len="med"/>
          <a:tailEnd type="none" w="med" len="med"/>
        </a:ln>
      </xdr:spPr>
      <xdr:style>
        <a:lnRef idx="0">
          <a:schemeClr val="accent3"/>
        </a:lnRef>
        <a:fillRef idx="3">
          <a:schemeClr val="accent3"/>
        </a:fillRef>
        <a:effectRef idx="3">
          <a:schemeClr val="accent3"/>
        </a:effectRef>
        <a:fontRef idx="minor">
          <a:schemeClr val="lt1"/>
        </a:fontRef>
      </xdr:style>
      <xdr:txBody>
        <a:bodyPr vertOverflow="clip" horzOverflow="clip" wrap="square" lIns="18288" tIns="0" rIns="0" bIns="0" rtlCol="0" anchor="ctr" upright="1"/>
        <a:lstStyle/>
        <a:p>
          <a:pPr algn="ctr"/>
          <a:r>
            <a:rPr lang="es-CO" sz="1400" b="1" cap="none" spc="0">
              <a:ln w="10160">
                <a:solidFill>
                  <a:schemeClr val="bg1"/>
                </a:solidFill>
                <a:prstDash val="solid"/>
              </a:ln>
              <a:solidFill>
                <a:schemeClr val="bg1"/>
              </a:solidFill>
              <a:effectLst>
                <a:outerShdw blurRad="50800" dist="38100" dir="2700000" algn="tl" rotWithShape="0">
                  <a:prstClr val="black">
                    <a:alpha val="40000"/>
                  </a:prstClr>
                </a:outerShdw>
              </a:effectLst>
            </a:rPr>
            <a:t>Menu</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802822</xdr:colOff>
      <xdr:row>3</xdr:row>
      <xdr:rowOff>67734</xdr:rowOff>
    </xdr:to>
    <xdr:sp macro="" textlink="">
      <xdr:nvSpPr>
        <xdr:cNvPr id="2" name="Flecha izquierda 1">
          <a:hlinkClick xmlns:r="http://schemas.openxmlformats.org/officeDocument/2006/relationships" r:id="rId1"/>
        </xdr:cNvPr>
        <xdr:cNvSpPr/>
      </xdr:nvSpPr>
      <xdr:spPr bwMode="auto">
        <a:xfrm>
          <a:off x="5800725" y="190500"/>
          <a:ext cx="802822" cy="448734"/>
        </a:xfrm>
        <a:prstGeom prst="leftArrow">
          <a:avLst/>
        </a:prstGeom>
        <a:solidFill>
          <a:schemeClr val="accent1">
            <a:lumMod val="75000"/>
          </a:schemeClr>
        </a:solidFill>
        <a:ln>
          <a:headEnd type="none" w="med" len="med"/>
          <a:tailEnd type="none" w="med" len="med"/>
        </a:ln>
      </xdr:spPr>
      <xdr:style>
        <a:lnRef idx="0">
          <a:schemeClr val="accent3"/>
        </a:lnRef>
        <a:fillRef idx="3">
          <a:schemeClr val="accent3"/>
        </a:fillRef>
        <a:effectRef idx="3">
          <a:schemeClr val="accent3"/>
        </a:effectRef>
        <a:fontRef idx="minor">
          <a:schemeClr val="lt1"/>
        </a:fontRef>
      </xdr:style>
      <xdr:txBody>
        <a:bodyPr vertOverflow="clip" horzOverflow="clip" wrap="square" lIns="18288" tIns="0" rIns="0" bIns="0" rtlCol="0" anchor="ctr" upright="1"/>
        <a:lstStyle/>
        <a:p>
          <a:pPr algn="ctr"/>
          <a:r>
            <a:rPr lang="es-CO" sz="1400" b="1" cap="none" spc="0">
              <a:ln w="10160">
                <a:solidFill>
                  <a:schemeClr val="bg1"/>
                </a:solidFill>
                <a:prstDash val="solid"/>
              </a:ln>
              <a:solidFill>
                <a:schemeClr val="bg1"/>
              </a:solidFill>
              <a:effectLst>
                <a:outerShdw blurRad="50800" dist="38100" dir="2700000" algn="tl" rotWithShape="0">
                  <a:prstClr val="black">
                    <a:alpha val="40000"/>
                  </a:prstClr>
                </a:outerShdw>
              </a:effectLst>
            </a:rPr>
            <a:t>Menu</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209550</xdr:colOff>
      <xdr:row>1</xdr:row>
      <xdr:rowOff>76200</xdr:rowOff>
    </xdr:from>
    <xdr:to>
      <xdr:col>12</xdr:col>
      <xdr:colOff>607887</xdr:colOff>
      <xdr:row>4</xdr:row>
      <xdr:rowOff>114300</xdr:rowOff>
    </xdr:to>
    <xdr:sp macro="" textlink="">
      <xdr:nvSpPr>
        <xdr:cNvPr id="2" name="1 Flecha curvada hacia la izquierda">
          <a:hlinkClick xmlns:r="http://schemas.openxmlformats.org/officeDocument/2006/relationships" r:id="rId1"/>
        </xdr:cNvPr>
        <xdr:cNvSpPr/>
      </xdr:nvSpPr>
      <xdr:spPr>
        <a:xfrm>
          <a:off x="9353550" y="266700"/>
          <a:ext cx="398337" cy="609600"/>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twoCellAnchor editAs="oneCell">
    <xdr:from>
      <xdr:col>5</xdr:col>
      <xdr:colOff>285750</xdr:colOff>
      <xdr:row>1</xdr:row>
      <xdr:rowOff>150813</xdr:rowOff>
    </xdr:from>
    <xdr:to>
      <xdr:col>8</xdr:col>
      <xdr:colOff>266700</xdr:colOff>
      <xdr:row>7</xdr:row>
      <xdr:rowOff>141288</xdr:rowOff>
    </xdr:to>
    <xdr:pic>
      <xdr:nvPicPr>
        <xdr:cNvPr id="4" name="3 Imagen" descr="http://www.iprofesional.com/adjuntos/jpg/2012/05/360990.jpg"/>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439" t="25053" r="5151" b="30911"/>
        <a:stretch/>
      </xdr:blipFill>
      <xdr:spPr bwMode="auto">
        <a:xfrm>
          <a:off x="4095750" y="341313"/>
          <a:ext cx="2266950" cy="1133475"/>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a:ext uri="{53640926-AAD7-44D8-BBD7-CCE9431645EC}">
            <a14:shadowObscured xmlns:a14="http://schemas.microsoft.com/office/drawing/2010/main"/>
          </a:ext>
        </a:extLst>
      </xdr:spPr>
    </xdr:pic>
    <xdr:clientData/>
  </xdr:twoCellAnchor>
  <xdr:twoCellAnchor>
    <xdr:from>
      <xdr:col>1</xdr:col>
      <xdr:colOff>127000</xdr:colOff>
      <xdr:row>10</xdr:row>
      <xdr:rowOff>137583</xdr:rowOff>
    </xdr:from>
    <xdr:to>
      <xdr:col>12</xdr:col>
      <xdr:colOff>582083</xdr:colOff>
      <xdr:row>28</xdr:row>
      <xdr:rowOff>179917</xdr:rowOff>
    </xdr:to>
    <xdr:sp macro="" textlink="">
      <xdr:nvSpPr>
        <xdr:cNvPr id="5" name="4 CuadroTexto"/>
        <xdr:cNvSpPr txBox="1"/>
      </xdr:nvSpPr>
      <xdr:spPr>
        <a:xfrm>
          <a:off x="889000" y="2063750"/>
          <a:ext cx="8837083" cy="34819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s-CO" sz="1200">
              <a:solidFill>
                <a:schemeClr val="dk1"/>
              </a:solidFill>
              <a:latin typeface="Arial" pitchFamily="34" charset="0"/>
              <a:ea typeface="+mn-ea"/>
              <a:cs typeface="Arial" pitchFamily="34" charset="0"/>
            </a:rPr>
            <a:t>La compañía fue fundada en Estados Unidos en 1923 por Arthur C. Nielsen, uno de los pioneros en la investigación de mercados moderna. Nielsen se ha dedicado a la innovación en el campo de la investigación de mercados y medios de comunicación centrada en el consumidor. </a:t>
          </a:r>
          <a:r>
            <a:rPr lang="es-CO" sz="1200" i="1">
              <a:solidFill>
                <a:schemeClr val="dk1"/>
              </a:solidFill>
              <a:latin typeface="Arial" pitchFamily="34" charset="0"/>
              <a:ea typeface="+mn-ea"/>
              <a:cs typeface="Arial" pitchFamily="34" charset="0"/>
            </a:rPr>
            <a:t>“Nielsen fue el responsable de la creación de una metodología única para la medición detallista que proporcionaba a los clientes los primeros datos fiables y objetivos sobre el comportamiento de las marcas en comparación con la competencia y el impacto de sus estrategias de marketing y ventas en los ingresos y beneficios”.</a:t>
          </a:r>
        </a:p>
        <a:p>
          <a:endParaRPr lang="es-CO" sz="1200">
            <a:solidFill>
              <a:schemeClr val="dk1"/>
            </a:solidFill>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Nielsen ofrece información de mercados integrada recopilada de una gran variedad de fuentes, avanzadas herramientas de gestión de la información, sofisticados sistemas y metodologías de análisis junto con un servicio profesional personalizado.</a:t>
          </a:r>
        </a:p>
        <a:p>
          <a:r>
            <a:rPr lang="es-CO" sz="1200">
              <a:solidFill>
                <a:schemeClr val="dk1"/>
              </a:solidFill>
              <a:latin typeface="Arial" pitchFamily="34" charset="0"/>
              <a:ea typeface="+mn-ea"/>
              <a:cs typeface="Arial" pitchFamily="34" charset="0"/>
            </a:rPr>
            <a:t>El equipo de profesionales trabaja con la colaboración de sus clientes para ayudarles a seleccionar y optimizar la información y los servicios oportunos para utilizarlos de forma adecuada para tomar buenas decisiones.</a:t>
          </a:r>
        </a:p>
        <a:p>
          <a:endParaRPr lang="es-CO" sz="1200">
            <a:solidFill>
              <a:schemeClr val="dk1"/>
            </a:solidFill>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Dentro del portafolio de servicios se encuentra; la medición de mercados, otorgando un amplio conocimiento sobre: ventas</a:t>
          </a:r>
          <a:r>
            <a:rPr lang="es-CO" sz="1200" baseline="0">
              <a:solidFill>
                <a:schemeClr val="dk1"/>
              </a:solidFill>
              <a:latin typeface="Arial" pitchFamily="34" charset="0"/>
              <a:ea typeface="+mn-ea"/>
              <a:cs typeface="Arial" pitchFamily="34" charset="0"/>
            </a:rPr>
            <a:t> </a:t>
          </a:r>
          <a:r>
            <a:rPr lang="es-CO" sz="1200">
              <a:solidFill>
                <a:schemeClr val="dk1"/>
              </a:solidFill>
              <a:latin typeface="Arial" pitchFamily="34" charset="0"/>
              <a:ea typeface="+mn-ea"/>
              <a:cs typeface="Arial" pitchFamily="34" charset="0"/>
            </a:rPr>
            <a:t>y</a:t>
          </a:r>
          <a:r>
            <a:rPr lang="es-CO" sz="1200" baseline="0">
              <a:solidFill>
                <a:schemeClr val="dk1"/>
              </a:solidFill>
              <a:latin typeface="Arial" pitchFamily="34" charset="0"/>
              <a:ea typeface="+mn-ea"/>
              <a:cs typeface="Arial" pitchFamily="34" charset="0"/>
            </a:rPr>
            <a:t> </a:t>
          </a:r>
          <a:r>
            <a:rPr lang="es-CO" sz="1200">
              <a:solidFill>
                <a:schemeClr val="dk1"/>
              </a:solidFill>
              <a:latin typeface="Arial" pitchFamily="34" charset="0"/>
              <a:ea typeface="+mn-ea"/>
              <a:cs typeface="Arial" pitchFamily="34" charset="0"/>
            </a:rPr>
            <a:t>compras de los consumidores de productos de gran consumo y otros sectores; ofreciendo herramientas y servicios de análisis: otorgando una amplia variedad de software y servicios profesionales que permiten a los clientes recibir, seleccionar y analizar la información e integrarla con sus propios datos e información de terceros; además servicios de diagnóstico e identificación de oportunidades.</a:t>
          </a:r>
        </a:p>
        <a:p>
          <a:endParaRPr lang="es-CO" sz="1200">
            <a:solidFill>
              <a:schemeClr val="dk1"/>
            </a:solidFill>
            <a:latin typeface="Arial" pitchFamily="34" charset="0"/>
            <a:ea typeface="+mn-ea"/>
            <a:cs typeface="Arial" pitchFamily="34" charset="0"/>
          </a:endParaRPr>
        </a:p>
        <a:p>
          <a:r>
            <a:rPr lang="es-CO" sz="900" i="1" u="sng">
              <a:solidFill>
                <a:schemeClr val="dk1"/>
              </a:solidFill>
              <a:latin typeface="Arial" pitchFamily="34" charset="0"/>
              <a:ea typeface="+mn-ea"/>
              <a:cs typeface="Arial" pitchFamily="34" charset="0"/>
              <a:hlinkClick xmlns:r="http://schemas.openxmlformats.org/officeDocument/2006/relationships" r:id=""/>
            </a:rPr>
            <a:t>http://es.nielsen.com/company/history.shtml</a:t>
          </a:r>
          <a:r>
            <a:rPr lang="es-CO" sz="900" i="1">
              <a:solidFill>
                <a:schemeClr val="dk1"/>
              </a:solidFill>
              <a:latin typeface="Arial" pitchFamily="34" charset="0"/>
              <a:ea typeface="+mn-ea"/>
              <a:cs typeface="Arial" pitchFamily="34" charset="0"/>
            </a:rPr>
            <a:t> </a:t>
          </a:r>
          <a:endParaRPr lang="es-CO" sz="900">
            <a:solidFill>
              <a:schemeClr val="dk1"/>
            </a:solidFill>
            <a:latin typeface="Arial" pitchFamily="34" charset="0"/>
            <a:ea typeface="+mn-ea"/>
            <a:cs typeface="Arial" pitchFamily="34" charset="0"/>
          </a:endParaRPr>
        </a:p>
        <a:p>
          <a:r>
            <a:rPr lang="es-CO" sz="900" i="1" u="sng">
              <a:solidFill>
                <a:schemeClr val="dk1"/>
              </a:solidFill>
              <a:latin typeface="Arial" pitchFamily="34" charset="0"/>
              <a:ea typeface="+mn-ea"/>
              <a:cs typeface="Arial" pitchFamily="34" charset="0"/>
              <a:hlinkClick xmlns:r="http://schemas.openxmlformats.org/officeDocument/2006/relationships" r:id=""/>
            </a:rPr>
            <a:t>http://es.nielsen.com/company/what.shtml</a:t>
          </a:r>
          <a:r>
            <a:rPr lang="es-CO" sz="900">
              <a:solidFill>
                <a:schemeClr val="dk1"/>
              </a:solidFill>
              <a:latin typeface="Arial" pitchFamily="34" charset="0"/>
              <a:ea typeface="+mn-ea"/>
              <a:cs typeface="Arial" pitchFamily="34" charset="0"/>
            </a:rPr>
            <a:t> </a:t>
          </a:r>
        </a:p>
        <a:p>
          <a:endParaRPr lang="es-CO"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704850</xdr:colOff>
      <xdr:row>0</xdr:row>
      <xdr:rowOff>38100</xdr:rowOff>
    </xdr:from>
    <xdr:to>
      <xdr:col>2</xdr:col>
      <xdr:colOff>19963</xdr:colOff>
      <xdr:row>3</xdr:row>
      <xdr:rowOff>143933</xdr:rowOff>
    </xdr:to>
    <xdr:pic>
      <xdr:nvPicPr>
        <xdr:cNvPr id="2"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704850" y="38100"/>
          <a:ext cx="962938" cy="677333"/>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7</xdr:col>
      <xdr:colOff>0</xdr:colOff>
      <xdr:row>2</xdr:row>
      <xdr:rowOff>0</xdr:rowOff>
    </xdr:from>
    <xdr:to>
      <xdr:col>14</xdr:col>
      <xdr:colOff>0</xdr:colOff>
      <xdr:row>5</xdr:row>
      <xdr:rowOff>67734</xdr:rowOff>
    </xdr:to>
    <xdr:sp macro="" textlink="">
      <xdr:nvSpPr>
        <xdr:cNvPr id="3" name="Flecha izquierda 3">
          <a:hlinkClick xmlns:r="http://schemas.openxmlformats.org/officeDocument/2006/relationships" r:id="rId2"/>
        </xdr:cNvPr>
        <xdr:cNvSpPr/>
      </xdr:nvSpPr>
      <xdr:spPr bwMode="auto">
        <a:xfrm>
          <a:off x="5391150" y="381000"/>
          <a:ext cx="4200525" cy="639234"/>
        </a:xfrm>
        <a:prstGeom prst="leftArrow">
          <a:avLst/>
        </a:prstGeom>
        <a:solidFill>
          <a:schemeClr val="accent1">
            <a:lumMod val="75000"/>
          </a:schemeClr>
        </a:solidFill>
        <a:ln>
          <a:headEnd type="none" w="med" len="med"/>
          <a:tailEnd type="none" w="med" len="med"/>
        </a:ln>
      </xdr:spPr>
      <xdr:style>
        <a:lnRef idx="0">
          <a:schemeClr val="accent3"/>
        </a:lnRef>
        <a:fillRef idx="3">
          <a:schemeClr val="accent3"/>
        </a:fillRef>
        <a:effectRef idx="3">
          <a:schemeClr val="accent3"/>
        </a:effectRef>
        <a:fontRef idx="minor">
          <a:schemeClr val="lt1"/>
        </a:fontRef>
      </xdr:style>
      <xdr:txBody>
        <a:bodyPr vertOverflow="clip" horzOverflow="clip" wrap="square" lIns="18288" tIns="0" rIns="0" bIns="0" rtlCol="0" anchor="ctr" upright="1"/>
        <a:lstStyle/>
        <a:p>
          <a:pPr algn="ctr"/>
          <a:r>
            <a:rPr lang="es-CO" sz="1400" b="1" cap="none" spc="0">
              <a:ln w="10160">
                <a:solidFill>
                  <a:schemeClr val="bg1"/>
                </a:solidFill>
                <a:prstDash val="solid"/>
              </a:ln>
              <a:solidFill>
                <a:schemeClr val="bg1"/>
              </a:solidFill>
              <a:effectLst>
                <a:outerShdw blurRad="50800" dist="38100" dir="2700000" algn="tl" rotWithShape="0">
                  <a:prstClr val="black">
                    <a:alpha val="40000"/>
                  </a:prstClr>
                </a:outerShdw>
              </a:effectLst>
            </a:rPr>
            <a:t>Menu</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136328</xdr:colOff>
      <xdr:row>0</xdr:row>
      <xdr:rowOff>46689</xdr:rowOff>
    </xdr:from>
    <xdr:to>
      <xdr:col>0</xdr:col>
      <xdr:colOff>136328</xdr:colOff>
      <xdr:row>3</xdr:row>
      <xdr:rowOff>83018</xdr:rowOff>
    </xdr:to>
    <xdr:pic>
      <xdr:nvPicPr>
        <xdr:cNvPr id="2"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136328" y="46689"/>
          <a:ext cx="0" cy="1036454"/>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11</xdr:col>
      <xdr:colOff>603250</xdr:colOff>
      <xdr:row>0</xdr:row>
      <xdr:rowOff>148167</xdr:rowOff>
    </xdr:from>
    <xdr:to>
      <xdr:col>12</xdr:col>
      <xdr:colOff>0</xdr:colOff>
      <xdr:row>0</xdr:row>
      <xdr:rowOff>539751</xdr:rowOff>
    </xdr:to>
    <xdr:sp macro="" textlink="">
      <xdr:nvSpPr>
        <xdr:cNvPr id="3" name="Flecha izquierda 2">
          <a:hlinkClick xmlns:r="http://schemas.openxmlformats.org/officeDocument/2006/relationships" r:id="rId2"/>
        </xdr:cNvPr>
        <xdr:cNvSpPr/>
      </xdr:nvSpPr>
      <xdr:spPr bwMode="auto">
        <a:xfrm>
          <a:off x="14947900" y="148167"/>
          <a:ext cx="1063625" cy="391584"/>
        </a:xfrm>
        <a:prstGeom prst="leftArrow">
          <a:avLst/>
        </a:prstGeom>
        <a:solidFill>
          <a:schemeClr val="accent1">
            <a:lumMod val="75000"/>
          </a:schemeClr>
        </a:solidFill>
        <a:ln>
          <a:headEnd type="none" w="med" len="med"/>
          <a:tailEnd type="none" w="med" len="med"/>
        </a:ln>
      </xdr:spPr>
      <xdr:style>
        <a:lnRef idx="0">
          <a:schemeClr val="accent3"/>
        </a:lnRef>
        <a:fillRef idx="3">
          <a:schemeClr val="accent3"/>
        </a:fillRef>
        <a:effectRef idx="3">
          <a:schemeClr val="accent3"/>
        </a:effectRef>
        <a:fontRef idx="minor">
          <a:schemeClr val="lt1"/>
        </a:fontRef>
      </xdr:style>
      <xdr:txBody>
        <a:bodyPr vertOverflow="clip" horzOverflow="clip" wrap="square" lIns="18288" tIns="0" rIns="0" bIns="0" rtlCol="0" anchor="ctr" upright="1"/>
        <a:lstStyle/>
        <a:p>
          <a:pPr algn="ctr"/>
          <a:r>
            <a:rPr lang="es-CO" sz="1400" b="1" cap="none" spc="0">
              <a:ln w="10160">
                <a:solidFill>
                  <a:schemeClr val="bg1"/>
                </a:solidFill>
                <a:prstDash val="solid"/>
              </a:ln>
              <a:solidFill>
                <a:schemeClr val="bg1"/>
              </a:solidFill>
              <a:effectLst>
                <a:outerShdw blurRad="50800" dist="38100" dir="2700000" algn="tl" rotWithShape="0">
                  <a:prstClr val="black">
                    <a:alpha val="40000"/>
                  </a:prstClr>
                </a:outerShdw>
              </a:effectLst>
            </a:rPr>
            <a:t>Menu</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351052</xdr:colOff>
      <xdr:row>0</xdr:row>
      <xdr:rowOff>95250</xdr:rowOff>
    </xdr:from>
    <xdr:to>
      <xdr:col>0</xdr:col>
      <xdr:colOff>351052</xdr:colOff>
      <xdr:row>3</xdr:row>
      <xdr:rowOff>155575</xdr:rowOff>
    </xdr:to>
    <xdr:pic>
      <xdr:nvPicPr>
        <xdr:cNvPr id="2"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351052" y="95250"/>
          <a:ext cx="0" cy="1374775"/>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15</xdr:col>
      <xdr:colOff>127000</xdr:colOff>
      <xdr:row>0</xdr:row>
      <xdr:rowOff>148167</xdr:rowOff>
    </xdr:from>
    <xdr:to>
      <xdr:col>15</xdr:col>
      <xdr:colOff>929822</xdr:colOff>
      <xdr:row>0</xdr:row>
      <xdr:rowOff>539751</xdr:rowOff>
    </xdr:to>
    <xdr:sp macro="" textlink="">
      <xdr:nvSpPr>
        <xdr:cNvPr id="3" name="Flecha izquierda 2">
          <a:hlinkClick xmlns:r="http://schemas.openxmlformats.org/officeDocument/2006/relationships" r:id="rId2"/>
        </xdr:cNvPr>
        <xdr:cNvSpPr/>
      </xdr:nvSpPr>
      <xdr:spPr bwMode="auto">
        <a:xfrm>
          <a:off x="15567025" y="148167"/>
          <a:ext cx="678997" cy="391584"/>
        </a:xfrm>
        <a:prstGeom prst="leftArrow">
          <a:avLst/>
        </a:prstGeom>
        <a:solidFill>
          <a:schemeClr val="accent1">
            <a:lumMod val="75000"/>
          </a:schemeClr>
        </a:solidFill>
        <a:ln>
          <a:headEnd type="none" w="med" len="med"/>
          <a:tailEnd type="none" w="med" len="med"/>
        </a:ln>
      </xdr:spPr>
      <xdr:style>
        <a:lnRef idx="0">
          <a:schemeClr val="accent3"/>
        </a:lnRef>
        <a:fillRef idx="3">
          <a:schemeClr val="accent3"/>
        </a:fillRef>
        <a:effectRef idx="3">
          <a:schemeClr val="accent3"/>
        </a:effectRef>
        <a:fontRef idx="minor">
          <a:schemeClr val="lt1"/>
        </a:fontRef>
      </xdr:style>
      <xdr:txBody>
        <a:bodyPr vertOverflow="clip" horzOverflow="clip" wrap="square" lIns="18288" tIns="0" rIns="0" bIns="0" rtlCol="0" anchor="ctr" upright="1"/>
        <a:lstStyle/>
        <a:p>
          <a:pPr algn="ctr"/>
          <a:r>
            <a:rPr lang="es-CO" sz="1400" b="1" cap="none" spc="0">
              <a:ln w="10160">
                <a:solidFill>
                  <a:schemeClr val="bg1"/>
                </a:solidFill>
                <a:prstDash val="solid"/>
              </a:ln>
              <a:solidFill>
                <a:schemeClr val="bg1"/>
              </a:solidFill>
              <a:effectLst>
                <a:outerShdw blurRad="50800" dist="38100" dir="2700000" algn="tl" rotWithShape="0">
                  <a:prstClr val="black">
                    <a:alpha val="40000"/>
                  </a:prstClr>
                </a:outerShdw>
              </a:effectLst>
            </a:rPr>
            <a:t>Mnu</a:t>
          </a: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10582</xdr:colOff>
      <xdr:row>0</xdr:row>
      <xdr:rowOff>0</xdr:rowOff>
    </xdr:from>
    <xdr:to>
      <xdr:col>0</xdr:col>
      <xdr:colOff>10582</xdr:colOff>
      <xdr:row>5</xdr:row>
      <xdr:rowOff>86783</xdr:rowOff>
    </xdr:to>
    <xdr:pic>
      <xdr:nvPicPr>
        <xdr:cNvPr id="2"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10582" y="0"/>
          <a:ext cx="0" cy="1096433"/>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9</xdr:col>
      <xdr:colOff>0</xdr:colOff>
      <xdr:row>0</xdr:row>
      <xdr:rowOff>190500</xdr:rowOff>
    </xdr:from>
    <xdr:to>
      <xdr:col>9</xdr:col>
      <xdr:colOff>326572</xdr:colOff>
      <xdr:row>0</xdr:row>
      <xdr:rowOff>582084</xdr:rowOff>
    </xdr:to>
    <xdr:sp macro="" textlink="">
      <xdr:nvSpPr>
        <xdr:cNvPr id="3" name="Flecha izquierda 2">
          <a:hlinkClick xmlns:r="http://schemas.openxmlformats.org/officeDocument/2006/relationships" r:id="rId2"/>
        </xdr:cNvPr>
        <xdr:cNvSpPr/>
      </xdr:nvSpPr>
      <xdr:spPr bwMode="auto">
        <a:xfrm>
          <a:off x="8677275" y="180975"/>
          <a:ext cx="326572" cy="1059"/>
        </a:xfrm>
        <a:prstGeom prst="leftArrow">
          <a:avLst/>
        </a:prstGeom>
        <a:solidFill>
          <a:schemeClr val="accent1">
            <a:lumMod val="75000"/>
          </a:schemeClr>
        </a:solidFill>
        <a:ln>
          <a:headEnd type="none" w="med" len="med"/>
          <a:tailEnd type="none" w="med" len="med"/>
        </a:ln>
      </xdr:spPr>
      <xdr:style>
        <a:lnRef idx="0">
          <a:schemeClr val="accent3"/>
        </a:lnRef>
        <a:fillRef idx="3">
          <a:schemeClr val="accent3"/>
        </a:fillRef>
        <a:effectRef idx="3">
          <a:schemeClr val="accent3"/>
        </a:effectRef>
        <a:fontRef idx="minor">
          <a:schemeClr val="lt1"/>
        </a:fontRef>
      </xdr:style>
      <xdr:txBody>
        <a:bodyPr vertOverflow="clip" horzOverflow="clip" wrap="square" lIns="18288" tIns="0" rIns="0" bIns="0" rtlCol="0" anchor="ctr" upright="1"/>
        <a:lstStyle/>
        <a:p>
          <a:pPr algn="ctr"/>
          <a:r>
            <a:rPr lang="es-CO" sz="1400" b="1" cap="none" spc="0">
              <a:ln w="10160">
                <a:solidFill>
                  <a:schemeClr val="bg1"/>
                </a:solidFill>
                <a:prstDash val="solid"/>
              </a:ln>
              <a:solidFill>
                <a:schemeClr val="bg1"/>
              </a:solidFill>
              <a:effectLst>
                <a:outerShdw blurRad="50800" dist="38100" dir="2700000" algn="tl" rotWithShape="0">
                  <a:prstClr val="black">
                    <a:alpha val="40000"/>
                  </a:prstClr>
                </a:outerShdw>
              </a:effectLst>
            </a:rPr>
            <a:t>Menu</a:t>
          </a:r>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215781</xdr:colOff>
      <xdr:row>0</xdr:row>
      <xdr:rowOff>95250</xdr:rowOff>
    </xdr:from>
    <xdr:to>
      <xdr:col>0</xdr:col>
      <xdr:colOff>215781</xdr:colOff>
      <xdr:row>5</xdr:row>
      <xdr:rowOff>155839</xdr:rowOff>
    </xdr:to>
    <xdr:pic>
      <xdr:nvPicPr>
        <xdr:cNvPr id="2"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215781" y="95250"/>
          <a:ext cx="0" cy="927364"/>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3</xdr:col>
      <xdr:colOff>0</xdr:colOff>
      <xdr:row>5</xdr:row>
      <xdr:rowOff>128587</xdr:rowOff>
    </xdr:from>
    <xdr:to>
      <xdr:col>10</xdr:col>
      <xdr:colOff>76200</xdr:colOff>
      <xdr:row>19</xdr:row>
      <xdr:rowOff>152400</xdr:rowOff>
    </xdr:to>
    <xdr:graphicFrame macro="">
      <xdr:nvGraphicFramePr>
        <xdr:cNvPr id="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838201</xdr:colOff>
      <xdr:row>32</xdr:row>
      <xdr:rowOff>176211</xdr:rowOff>
    </xdr:from>
    <xdr:to>
      <xdr:col>11</xdr:col>
      <xdr:colOff>314325</xdr:colOff>
      <xdr:row>50</xdr:row>
      <xdr:rowOff>161924</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285750</xdr:colOff>
      <xdr:row>0</xdr:row>
      <xdr:rowOff>52917</xdr:rowOff>
    </xdr:from>
    <xdr:to>
      <xdr:col>0</xdr:col>
      <xdr:colOff>285750</xdr:colOff>
      <xdr:row>3</xdr:row>
      <xdr:rowOff>198967</xdr:rowOff>
    </xdr:to>
    <xdr:pic>
      <xdr:nvPicPr>
        <xdr:cNvPr id="2"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285750" y="52917"/>
          <a:ext cx="0" cy="898525"/>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560917</xdr:colOff>
      <xdr:row>0</xdr:row>
      <xdr:rowOff>127000</xdr:rowOff>
    </xdr:from>
    <xdr:to>
      <xdr:col>9</xdr:col>
      <xdr:colOff>263073</xdr:colOff>
      <xdr:row>2</xdr:row>
      <xdr:rowOff>63501</xdr:rowOff>
    </xdr:to>
    <xdr:sp macro="" textlink="">
      <xdr:nvSpPr>
        <xdr:cNvPr id="3" name="Flecha izquierda 2">
          <a:hlinkClick xmlns:r="http://schemas.openxmlformats.org/officeDocument/2006/relationships" r:id="rId2"/>
        </xdr:cNvPr>
        <xdr:cNvSpPr/>
      </xdr:nvSpPr>
      <xdr:spPr bwMode="auto">
        <a:xfrm>
          <a:off x="10238317" y="127000"/>
          <a:ext cx="492731" cy="393701"/>
        </a:xfrm>
        <a:prstGeom prst="leftArrow">
          <a:avLst/>
        </a:prstGeom>
        <a:solidFill>
          <a:schemeClr val="accent1">
            <a:lumMod val="75000"/>
          </a:schemeClr>
        </a:solidFill>
        <a:ln>
          <a:headEnd type="none" w="med" len="med"/>
          <a:tailEnd type="none" w="med" len="med"/>
        </a:ln>
      </xdr:spPr>
      <xdr:style>
        <a:lnRef idx="0">
          <a:schemeClr val="accent3"/>
        </a:lnRef>
        <a:fillRef idx="3">
          <a:schemeClr val="accent3"/>
        </a:fillRef>
        <a:effectRef idx="3">
          <a:schemeClr val="accent3"/>
        </a:effectRef>
        <a:fontRef idx="minor">
          <a:schemeClr val="lt1"/>
        </a:fontRef>
      </xdr:style>
      <xdr:txBody>
        <a:bodyPr vertOverflow="clip" horzOverflow="clip" wrap="square" lIns="18288" tIns="0" rIns="0" bIns="0" rtlCol="0" anchor="ctr" upright="1"/>
        <a:lstStyle/>
        <a:p>
          <a:pPr algn="ctr"/>
          <a:r>
            <a:rPr lang="es-CO" sz="1400" b="1" cap="none" spc="0">
              <a:ln w="10160">
                <a:solidFill>
                  <a:schemeClr val="bg1"/>
                </a:solidFill>
                <a:prstDash val="solid"/>
              </a:ln>
              <a:solidFill>
                <a:schemeClr val="bg1"/>
              </a:solidFill>
              <a:effectLst>
                <a:outerShdw blurRad="50800" dist="38100" dir="2700000" algn="tl" rotWithShape="0">
                  <a:prstClr val="black">
                    <a:alpha val="40000"/>
                  </a:prstClr>
                </a:outerShdw>
              </a:effectLst>
            </a:rPr>
            <a:t>Menu</a:t>
          </a: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1</xdr:col>
          <xdr:colOff>2171700</xdr:colOff>
          <xdr:row>5</xdr:row>
          <xdr:rowOff>180975</xdr:rowOff>
        </xdr:to>
        <xdr:sp macro="" textlink="">
          <xdr:nvSpPr>
            <xdr:cNvPr id="893953" name="Drop Down 1" hidden="1">
              <a:extLst>
                <a:ext uri="{63B3BB69-23CF-44E3-9099-C40C66FF867C}">
                  <a14:compatExt spid="_x0000_s89395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24</xdr:row>
          <xdr:rowOff>19050</xdr:rowOff>
        </xdr:from>
        <xdr:to>
          <xdr:col>2</xdr:col>
          <xdr:colOff>0</xdr:colOff>
          <xdr:row>25</xdr:row>
          <xdr:rowOff>0</xdr:rowOff>
        </xdr:to>
        <xdr:sp macro="" textlink="">
          <xdr:nvSpPr>
            <xdr:cNvPr id="894977" name="Spinner 1" hidden="1">
              <a:extLst>
                <a:ext uri="{63B3BB69-23CF-44E3-9099-C40C66FF867C}">
                  <a14:compatExt spid="_x0000_s894977"/>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editAs="oneCell">
    <xdr:from>
      <xdr:col>0</xdr:col>
      <xdr:colOff>169333</xdr:colOff>
      <xdr:row>0</xdr:row>
      <xdr:rowOff>158751</xdr:rowOff>
    </xdr:from>
    <xdr:to>
      <xdr:col>0</xdr:col>
      <xdr:colOff>169333</xdr:colOff>
      <xdr:row>6</xdr:row>
      <xdr:rowOff>22226</xdr:rowOff>
    </xdr:to>
    <xdr:pic>
      <xdr:nvPicPr>
        <xdr:cNvPr id="3"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169333" y="158751"/>
          <a:ext cx="0" cy="109220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mc:AlternateContent xmlns:mc="http://schemas.openxmlformats.org/markup-compatibility/2006">
    <mc:Choice xmlns:a14="http://schemas.microsoft.com/office/drawing/2010/main" Requires="a14">
      <xdr:twoCellAnchor>
        <xdr:from>
          <xdr:col>0</xdr:col>
          <xdr:colOff>2009775</xdr:colOff>
          <xdr:row>17</xdr:row>
          <xdr:rowOff>180975</xdr:rowOff>
        </xdr:from>
        <xdr:to>
          <xdr:col>0</xdr:col>
          <xdr:colOff>2152650</xdr:colOff>
          <xdr:row>19</xdr:row>
          <xdr:rowOff>9525</xdr:rowOff>
        </xdr:to>
        <xdr:sp macro="" textlink="">
          <xdr:nvSpPr>
            <xdr:cNvPr id="894978" name="Spinner 2" hidden="1">
              <a:extLst>
                <a:ext uri="{63B3BB69-23CF-44E3-9099-C40C66FF867C}">
                  <a14:compatExt spid="_x0000_s894978"/>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xdr:twoCellAnchor>
    <xdr:from>
      <xdr:col>2</xdr:col>
      <xdr:colOff>335280</xdr:colOff>
      <xdr:row>5</xdr:row>
      <xdr:rowOff>152400</xdr:rowOff>
    </xdr:from>
    <xdr:to>
      <xdr:col>2</xdr:col>
      <xdr:colOff>655320</xdr:colOff>
      <xdr:row>6</xdr:row>
      <xdr:rowOff>45720</xdr:rowOff>
    </xdr:to>
    <xdr:sp macro="" textlink="">
      <xdr:nvSpPr>
        <xdr:cNvPr id="2" name="11 Flecha derecha"/>
        <xdr:cNvSpPr/>
      </xdr:nvSpPr>
      <xdr:spPr>
        <a:xfrm>
          <a:off x="3230880" y="1123950"/>
          <a:ext cx="320040" cy="838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541020</xdr:colOff>
      <xdr:row>5</xdr:row>
      <xdr:rowOff>144780</xdr:rowOff>
    </xdr:from>
    <xdr:to>
      <xdr:col>6</xdr:col>
      <xdr:colOff>68580</xdr:colOff>
      <xdr:row>6</xdr:row>
      <xdr:rowOff>38100</xdr:rowOff>
    </xdr:to>
    <xdr:sp macro="" textlink="">
      <xdr:nvSpPr>
        <xdr:cNvPr id="3" name="12 Flecha derecha"/>
        <xdr:cNvSpPr/>
      </xdr:nvSpPr>
      <xdr:spPr>
        <a:xfrm>
          <a:off x="5655945" y="1116330"/>
          <a:ext cx="299085" cy="838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548640</xdr:colOff>
      <xdr:row>11</xdr:row>
      <xdr:rowOff>137160</xdr:rowOff>
    </xdr:from>
    <xdr:to>
      <xdr:col>6</xdr:col>
      <xdr:colOff>76200</xdr:colOff>
      <xdr:row>12</xdr:row>
      <xdr:rowOff>30480</xdr:rowOff>
    </xdr:to>
    <xdr:sp macro="" textlink="">
      <xdr:nvSpPr>
        <xdr:cNvPr id="4" name="15 Flecha derecha"/>
        <xdr:cNvSpPr/>
      </xdr:nvSpPr>
      <xdr:spPr>
        <a:xfrm>
          <a:off x="5663565" y="2251710"/>
          <a:ext cx="299085" cy="838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541020</xdr:colOff>
      <xdr:row>8</xdr:row>
      <xdr:rowOff>144780</xdr:rowOff>
    </xdr:from>
    <xdr:to>
      <xdr:col>6</xdr:col>
      <xdr:colOff>68580</xdr:colOff>
      <xdr:row>9</xdr:row>
      <xdr:rowOff>38100</xdr:rowOff>
    </xdr:to>
    <xdr:sp macro="" textlink="">
      <xdr:nvSpPr>
        <xdr:cNvPr id="5" name="17 Flecha derecha"/>
        <xdr:cNvSpPr/>
      </xdr:nvSpPr>
      <xdr:spPr>
        <a:xfrm>
          <a:off x="5655945" y="1687830"/>
          <a:ext cx="299085" cy="838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85725</xdr:colOff>
      <xdr:row>1</xdr:row>
      <xdr:rowOff>85725</xdr:rowOff>
    </xdr:from>
    <xdr:to>
      <xdr:col>8</xdr:col>
      <xdr:colOff>32385</xdr:colOff>
      <xdr:row>3</xdr:row>
      <xdr:rowOff>186690</xdr:rowOff>
    </xdr:to>
    <xdr:pic>
      <xdr:nvPicPr>
        <xdr:cNvPr id="6" name="32 Imagen"/>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81325" y="285750"/>
          <a:ext cx="4480560" cy="4914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243840</xdr:colOff>
      <xdr:row>8</xdr:row>
      <xdr:rowOff>30480</xdr:rowOff>
    </xdr:from>
    <xdr:to>
      <xdr:col>9</xdr:col>
      <xdr:colOff>426720</xdr:colOff>
      <xdr:row>9</xdr:row>
      <xdr:rowOff>171450</xdr:rowOff>
    </xdr:to>
    <xdr:pic>
      <xdr:nvPicPr>
        <xdr:cNvPr id="7" name="33 Imagen"/>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130290" y="1573530"/>
          <a:ext cx="2497455" cy="331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87630</xdr:colOff>
      <xdr:row>4</xdr:row>
      <xdr:rowOff>190500</xdr:rowOff>
    </xdr:from>
    <xdr:to>
      <xdr:col>2</xdr:col>
      <xdr:colOff>179070</xdr:colOff>
      <xdr:row>5</xdr:row>
      <xdr:rowOff>198120</xdr:rowOff>
    </xdr:to>
    <xdr:pic>
      <xdr:nvPicPr>
        <xdr:cNvPr id="8" name="34 Imagen"/>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59155" y="971550"/>
          <a:ext cx="2215515" cy="1885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87630</xdr:colOff>
      <xdr:row>5</xdr:row>
      <xdr:rowOff>198120</xdr:rowOff>
    </xdr:from>
    <xdr:to>
      <xdr:col>2</xdr:col>
      <xdr:colOff>95250</xdr:colOff>
      <xdr:row>7</xdr:row>
      <xdr:rowOff>5715</xdr:rowOff>
    </xdr:to>
    <xdr:pic>
      <xdr:nvPicPr>
        <xdr:cNvPr id="9" name="35 Imagen"/>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59155" y="1160145"/>
          <a:ext cx="2131695" cy="198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57150</xdr:colOff>
      <xdr:row>8</xdr:row>
      <xdr:rowOff>184785</xdr:rowOff>
    </xdr:from>
    <xdr:to>
      <xdr:col>4</xdr:col>
      <xdr:colOff>529590</xdr:colOff>
      <xdr:row>9</xdr:row>
      <xdr:rowOff>182880</xdr:rowOff>
    </xdr:to>
    <xdr:pic>
      <xdr:nvPicPr>
        <xdr:cNvPr id="10" name="36 Imagen"/>
        <xdr:cNvPicPr>
          <a:picLocks noChangeAspect="1" noChangeArrowheads="1"/>
        </xdr:cNvPicPr>
      </xdr:nvPicPr>
      <xdr:blipFill>
        <a:blip xmlns:r="http://schemas.openxmlformats.org/officeDocument/2006/relationships" r:embed="rId5"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8675" y="1727835"/>
          <a:ext cx="4044315" cy="1885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201930</xdr:colOff>
      <xdr:row>5</xdr:row>
      <xdr:rowOff>81915</xdr:rowOff>
    </xdr:from>
    <xdr:to>
      <xdr:col>5</xdr:col>
      <xdr:colOff>453390</xdr:colOff>
      <xdr:row>6</xdr:row>
      <xdr:rowOff>89535</xdr:rowOff>
    </xdr:to>
    <xdr:pic>
      <xdr:nvPicPr>
        <xdr:cNvPr id="11" name="37 Imagen"/>
        <xdr:cNvPicPr>
          <a:picLocks noChangeAspect="1" noChangeArrowheads="1"/>
        </xdr:cNvPicPr>
      </xdr:nvPicPr>
      <xdr:blipFill>
        <a:blip xmlns:r="http://schemas.openxmlformats.org/officeDocument/2006/relationships" r:embed="rId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773805" y="1053465"/>
          <a:ext cx="1794510" cy="198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87630</xdr:colOff>
      <xdr:row>7</xdr:row>
      <xdr:rowOff>194310</xdr:rowOff>
    </xdr:from>
    <xdr:to>
      <xdr:col>4</xdr:col>
      <xdr:colOff>156210</xdr:colOff>
      <xdr:row>8</xdr:row>
      <xdr:rowOff>192405</xdr:rowOff>
    </xdr:to>
    <xdr:pic>
      <xdr:nvPicPr>
        <xdr:cNvPr id="12" name="38 Imagen"/>
        <xdr:cNvPicPr>
          <a:picLocks noChangeAspect="1" noChangeArrowheads="1"/>
        </xdr:cNvPicPr>
      </xdr:nvPicPr>
      <xdr:blipFill>
        <a:blip xmlns:r="http://schemas.openxmlformats.org/officeDocument/2006/relationships" r:embed="rId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59155" y="1546860"/>
          <a:ext cx="3640455" cy="1885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262890</xdr:colOff>
      <xdr:row>5</xdr:row>
      <xdr:rowOff>74295</xdr:rowOff>
    </xdr:from>
    <xdr:to>
      <xdr:col>8</xdr:col>
      <xdr:colOff>72390</xdr:colOff>
      <xdr:row>6</xdr:row>
      <xdr:rowOff>81915</xdr:rowOff>
    </xdr:to>
    <xdr:pic>
      <xdr:nvPicPr>
        <xdr:cNvPr id="13" name="39 Imagen"/>
        <xdr:cNvPicPr>
          <a:picLocks noChangeAspect="1" noChangeArrowheads="1"/>
        </xdr:cNvPicPr>
      </xdr:nvPicPr>
      <xdr:blipFill>
        <a:blip xmlns:r="http://schemas.openxmlformats.org/officeDocument/2006/relationships" r:embed="rId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149340" y="1045845"/>
          <a:ext cx="1352550" cy="198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257175</xdr:colOff>
      <xdr:row>11</xdr:row>
      <xdr:rowOff>114300</xdr:rowOff>
    </xdr:from>
    <xdr:to>
      <xdr:col>5</xdr:col>
      <xdr:colOff>318135</xdr:colOff>
      <xdr:row>12</xdr:row>
      <xdr:rowOff>66675</xdr:rowOff>
    </xdr:to>
    <xdr:pic>
      <xdr:nvPicPr>
        <xdr:cNvPr id="14" name="16 Imagen"/>
        <xdr:cNvPicPr>
          <a:picLocks noChangeAspect="1" noChangeArrowheads="1"/>
        </xdr:cNvPicPr>
      </xdr:nvPicPr>
      <xdr:blipFill>
        <a:blip xmlns:r="http://schemas.openxmlformats.org/officeDocument/2006/relationships" r:embed="rId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7175" y="2228850"/>
          <a:ext cx="5175885" cy="142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133350</xdr:colOff>
      <xdr:row>11</xdr:row>
      <xdr:rowOff>47625</xdr:rowOff>
    </xdr:from>
    <xdr:to>
      <xdr:col>10</xdr:col>
      <xdr:colOff>619125</xdr:colOff>
      <xdr:row>12</xdr:row>
      <xdr:rowOff>180975</xdr:rowOff>
    </xdr:to>
    <xdr:pic>
      <xdr:nvPicPr>
        <xdr:cNvPr id="15" name="20 Imagen"/>
        <xdr:cNvPicPr>
          <a:picLocks noChangeAspect="1" noChangeArrowheads="1"/>
        </xdr:cNvPicPr>
      </xdr:nvPicPr>
      <xdr:blipFill>
        <a:blip xmlns:r="http://schemas.openxmlformats.org/officeDocument/2006/relationships" r:embed="rId1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9800" y="2162175"/>
          <a:ext cx="3571875" cy="32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1409700</xdr:colOff>
          <xdr:row>32</xdr:row>
          <xdr:rowOff>85725</xdr:rowOff>
        </xdr:from>
        <xdr:to>
          <xdr:col>2</xdr:col>
          <xdr:colOff>123825</xdr:colOff>
          <xdr:row>34</xdr:row>
          <xdr:rowOff>28575</xdr:rowOff>
        </xdr:to>
        <xdr:sp macro="" textlink="">
          <xdr:nvSpPr>
            <xdr:cNvPr id="896001" name="Drop Down 1" hidden="1">
              <a:extLst>
                <a:ext uri="{63B3BB69-23CF-44E3-9099-C40C66FF867C}">
                  <a14:compatExt spid="_x0000_s89600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0</xdr:row>
          <xdr:rowOff>0</xdr:rowOff>
        </xdr:from>
        <xdr:to>
          <xdr:col>2</xdr:col>
          <xdr:colOff>0</xdr:colOff>
          <xdr:row>1</xdr:row>
          <xdr:rowOff>0</xdr:rowOff>
        </xdr:to>
        <xdr:sp macro="" textlink="">
          <xdr:nvSpPr>
            <xdr:cNvPr id="897025" name="Drop Down 1" hidden="1">
              <a:extLst>
                <a:ext uri="{63B3BB69-23CF-44E3-9099-C40C66FF867C}">
                  <a14:compatExt spid="_x0000_s897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77780</xdr:colOff>
      <xdr:row>0</xdr:row>
      <xdr:rowOff>0</xdr:rowOff>
    </xdr:from>
    <xdr:to>
      <xdr:col>0</xdr:col>
      <xdr:colOff>77780</xdr:colOff>
      <xdr:row>1</xdr:row>
      <xdr:rowOff>771231</xdr:rowOff>
    </xdr:to>
    <xdr:pic>
      <xdr:nvPicPr>
        <xdr:cNvPr id="3"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77780" y="0"/>
          <a:ext cx="0" cy="961731"/>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wsDr>
</file>

<file path=xl/drawings/drawing29.xml><?xml version="1.0" encoding="utf-8"?>
<xdr:wsDr xmlns:xdr="http://schemas.openxmlformats.org/drawingml/2006/spreadsheetDrawing" xmlns:a="http://schemas.openxmlformats.org/drawingml/2006/main">
  <xdr:twoCellAnchor>
    <xdr:from>
      <xdr:col>2</xdr:col>
      <xdr:colOff>738186</xdr:colOff>
      <xdr:row>3</xdr:row>
      <xdr:rowOff>75009</xdr:rowOff>
    </xdr:from>
    <xdr:to>
      <xdr:col>12</xdr:col>
      <xdr:colOff>178593</xdr:colOff>
      <xdr:row>24</xdr:row>
      <xdr:rowOff>142875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3</xdr:row>
      <xdr:rowOff>0</xdr:rowOff>
    </xdr:from>
    <xdr:to>
      <xdr:col>22</xdr:col>
      <xdr:colOff>202407</xdr:colOff>
      <xdr:row>24</xdr:row>
      <xdr:rowOff>67866</xdr:rowOff>
    </xdr:to>
    <xdr:graphicFrame macro="">
      <xdr:nvGraphicFramePr>
        <xdr:cNvPr id="4"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500063</xdr:colOff>
      <xdr:row>27</xdr:row>
      <xdr:rowOff>27383</xdr:rowOff>
    </xdr:from>
    <xdr:to>
      <xdr:col>17</xdr:col>
      <xdr:colOff>428625</xdr:colOff>
      <xdr:row>43</xdr:row>
      <xdr:rowOff>130968</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600075</xdr:colOff>
      <xdr:row>0</xdr:row>
      <xdr:rowOff>114300</xdr:rowOff>
    </xdr:from>
    <xdr:to>
      <xdr:col>7</xdr:col>
      <xdr:colOff>485775</xdr:colOff>
      <xdr:row>8</xdr:row>
      <xdr:rowOff>0</xdr:rowOff>
    </xdr:to>
    <xdr:pic>
      <xdr:nvPicPr>
        <xdr:cNvPr id="1353" name="Picture 3" descr="http://www.asfacop.org.co/joomla/images/com_sobi2/clients/22_img.gif"/>
        <xdr:cNvPicPr>
          <a:picLocks noChangeAspect="1" noChangeArrowheads="1"/>
        </xdr:cNvPicPr>
      </xdr:nvPicPr>
      <xdr:blipFill>
        <a:blip xmlns:r="http://schemas.openxmlformats.org/officeDocument/2006/relationships" r:embed="rId1" cstate="print"/>
        <a:srcRect/>
        <a:stretch>
          <a:fillRect/>
        </a:stretch>
      </xdr:blipFill>
      <xdr:spPr bwMode="auto">
        <a:xfrm>
          <a:off x="4410075" y="114300"/>
          <a:ext cx="1409700" cy="140970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12</xdr:col>
      <xdr:colOff>246152</xdr:colOff>
      <xdr:row>7</xdr:row>
      <xdr:rowOff>42809</xdr:rowOff>
    </xdr:from>
    <xdr:to>
      <xdr:col>12</xdr:col>
      <xdr:colOff>663540</xdr:colOff>
      <xdr:row>9</xdr:row>
      <xdr:rowOff>96320</xdr:rowOff>
    </xdr:to>
    <xdr:sp macro="" textlink="">
      <xdr:nvSpPr>
        <xdr:cNvPr id="2" name="1 Flecha curvada hacia la izquierda">
          <a:hlinkClick xmlns:r="http://schemas.openxmlformats.org/officeDocument/2006/relationships" r:id="rId2"/>
        </xdr:cNvPr>
        <xdr:cNvSpPr/>
      </xdr:nvSpPr>
      <xdr:spPr>
        <a:xfrm>
          <a:off x="9043399" y="1391292"/>
          <a:ext cx="417388" cy="438792"/>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twoCellAnchor>
    <xdr:from>
      <xdr:col>1</xdr:col>
      <xdr:colOff>87312</xdr:colOff>
      <xdr:row>10</xdr:row>
      <xdr:rowOff>111126</xdr:rowOff>
    </xdr:from>
    <xdr:to>
      <xdr:col>12</xdr:col>
      <xdr:colOff>706436</xdr:colOff>
      <xdr:row>75</xdr:row>
      <xdr:rowOff>158750</xdr:rowOff>
    </xdr:to>
    <xdr:sp macro="" textlink="">
      <xdr:nvSpPr>
        <xdr:cNvPr id="4" name="3 CuadroTexto"/>
        <xdr:cNvSpPr txBox="1"/>
      </xdr:nvSpPr>
      <xdr:spPr>
        <a:xfrm>
          <a:off x="849312" y="2032001"/>
          <a:ext cx="8675687" cy="1243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CO" sz="1200" b="1">
              <a:solidFill>
                <a:schemeClr val="dk1"/>
              </a:solidFill>
              <a:latin typeface="Arial" pitchFamily="34" charset="0"/>
              <a:ea typeface="+mn-ea"/>
              <a:cs typeface="Arial" pitchFamily="34" charset="0"/>
            </a:rPr>
            <a:t>INFORME SECTORIAL – ASESORÍAS EMPRESARIALES</a:t>
          </a:r>
        </a:p>
        <a:p>
          <a:endParaRPr lang="es-CO" sz="1200">
            <a:solidFill>
              <a:schemeClr val="dk1"/>
            </a:solidFill>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Al cierre del año 2012 la producción del sector de servicios a las empresas representó el 6,4% del PIB nacional, 0,1 de diferencia con respecto al año 2010 cuando representó el 6,3%, esto excluyendo los servicios financieros, inmobiliarios y de seguros donde representó el 32,3% del indicador macroeconómico, lo cual</a:t>
          </a:r>
          <a:r>
            <a:rPr lang="es-CO" sz="1200" baseline="0">
              <a:solidFill>
                <a:schemeClr val="dk1"/>
              </a:solidFill>
              <a:latin typeface="Arial" pitchFamily="34" charset="0"/>
              <a:ea typeface="+mn-ea"/>
              <a:cs typeface="Arial" pitchFamily="34" charset="0"/>
            </a:rPr>
            <a:t> contribuyo a </a:t>
          </a:r>
          <a:r>
            <a:rPr lang="es-CO" sz="1200">
              <a:solidFill>
                <a:schemeClr val="dk1"/>
              </a:solidFill>
              <a:latin typeface="Arial" pitchFamily="34" charset="0"/>
              <a:ea typeface="+mn-ea"/>
              <a:cs typeface="Arial" pitchFamily="34" charset="0"/>
            </a:rPr>
            <a:t>un leve crecimiento frente al</a:t>
          </a:r>
          <a:r>
            <a:rPr lang="es-CO" sz="1200" baseline="0">
              <a:solidFill>
                <a:schemeClr val="dk1"/>
              </a:solidFill>
              <a:latin typeface="Arial" pitchFamily="34" charset="0"/>
              <a:ea typeface="+mn-ea"/>
              <a:cs typeface="Arial" pitchFamily="34" charset="0"/>
            </a:rPr>
            <a:t> año</a:t>
          </a:r>
          <a:r>
            <a:rPr lang="es-CO" sz="1200">
              <a:solidFill>
                <a:schemeClr val="dk1"/>
              </a:solidFill>
              <a:latin typeface="Arial" pitchFamily="34" charset="0"/>
              <a:ea typeface="+mn-ea"/>
              <a:cs typeface="Arial" pitchFamily="34" charset="0"/>
            </a:rPr>
            <a:t> 2010 con 31,1%. Así mismo, la producción del sector ha experimentado una recuperación, tras una desaceleración muy marcada en 2009, cuando el crecimiecimiento fue tan solo del 0,96%. En 2010 el crecimiento fue del 3,9%, en 2011 fue del 7% y en 2012 el crecimiento fue de 4,6%. Estas son cifras alentadoras si se tiene en cuenta que la economía nacional creció tan sólo 4% en 2012.</a:t>
          </a:r>
        </a:p>
        <a:p>
          <a:endParaRPr lang="es-CO" sz="1200">
            <a:solidFill>
              <a:schemeClr val="dk1"/>
            </a:solidFill>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Probablemente para el sector de Asesorías Empresariales la crisis financiera global fue un determinante en la dinámica registrada en 2009, esto debido a que la contratación de servicios de éste tipo está fuertemente asociado al crecimiento de los países, a la apertura de nuevos mercados y nuevas inversiones y en un contexto mundial de incertidumbre y crisis económica, estas actividades son altamente demandadas. En 2006 y 2007 el crecimiento del sector fue muy dinámico llegando a cifras históricas como es el caso del año 2007 donde el sector tuvo un crecimiento del 11,2% el más alto en toda la década, lo cual traza una expectativa y un objetivo, pues a ese ritmo de crecimiento del sector para el año 2013 se espera que Colombia reemplace a Argentina en el cuarto lugar como mayor sector de consultoría en América Latina.</a:t>
          </a:r>
        </a:p>
        <a:p>
          <a:endParaRPr lang="es-CO" sz="1200">
            <a:solidFill>
              <a:schemeClr val="dk1"/>
            </a:solidFill>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Otro factor que posiblemente incide en el comportamiento de las ventas del sector es el crecimiento de la Inversión Extranjera Directa (IED), la cual para el primer trimestre de 2011 registró en la Balanza de pagos US$ 3.698 millones, aumentando su participación en 132,4 respecto al mismo periodo del año inmediatamente anterior, cuando alcanzo US$ 1.591 millones.</a:t>
          </a:r>
        </a:p>
        <a:p>
          <a:endParaRPr lang="es-CO" sz="1200">
            <a:solidFill>
              <a:schemeClr val="dk1"/>
            </a:solidFill>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Las empresas que conforman este sector por lo general son las que registran mayor número de empleados y facturación, ya que son compañías en las que su modelo de negocio lo basan en ofrecer servicios integrales y realizan diversas actividades, incluyendo outsorcing de auditoría, tecnología e impuestos. Las empresas de servicios a nivel mundial contribuyen con el 65% del producto global y del 70% del empleo generado.</a:t>
          </a: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pPr algn="r"/>
          <a:r>
            <a:rPr lang="es-CO" sz="1200" b="1">
              <a:solidFill>
                <a:schemeClr val="dk1"/>
              </a:solidFill>
              <a:latin typeface="Arial" pitchFamily="34" charset="0"/>
              <a:ea typeface="+mn-ea"/>
              <a:cs typeface="Arial" pitchFamily="34" charset="0"/>
            </a:rPr>
            <a:t>Fuente:Benchmark,</a:t>
          </a:r>
          <a:r>
            <a:rPr lang="es-CO" sz="1200" b="1" baseline="0">
              <a:solidFill>
                <a:schemeClr val="dk1"/>
              </a:solidFill>
              <a:latin typeface="Arial" pitchFamily="34" charset="0"/>
              <a:ea typeface="+mn-ea"/>
              <a:cs typeface="Arial" pitchFamily="34" charset="0"/>
            </a:rPr>
            <a:t> Elaboración propia</a:t>
          </a:r>
          <a:endParaRPr lang="es-CO" sz="1200" b="1">
            <a:solidFill>
              <a:schemeClr val="dk1"/>
            </a:solidFill>
            <a:latin typeface="Arial" pitchFamily="34" charset="0"/>
            <a:ea typeface="+mn-ea"/>
            <a:cs typeface="Arial" pitchFamily="34" charset="0"/>
          </a:endParaRPr>
        </a:p>
        <a:p>
          <a:pPr algn="ctr"/>
          <a:endParaRPr lang="es-CO" sz="1200">
            <a:solidFill>
              <a:schemeClr val="dk1"/>
            </a:solidFill>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Acción S. A, Activos S. A y Adecco Colombia S. A son las empresas del sector con el mayor volumen de ventas registrando para el año 2014 las siguientes cifras; $459.285 millones, $390.292 millones y $239.368 millones respectivamente.</a:t>
          </a:r>
        </a:p>
        <a:p>
          <a:endParaRPr lang="es-CO" sz="1200">
            <a:solidFill>
              <a:schemeClr val="dk1"/>
            </a:solidFill>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La rentabilidad como proporción de las ventas presentó un decrecimiento pasando por 5,37% en 2010, 4,57% en 2011 y a 3,86% en 2012 manteniendo un promedio de 4,4% en los últimos 5 años. A su vez la rentabilidad operacional paso de 6,94% a 5,49% entre el mismo periodo y manteniendose en 2012.</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Las utilidades de la empresa con base en los recursos invertidos, es decir los activos y el patrimonio pasaron de 6,06% a 5,40 y 14,40% a 12,80 respectivamente en el periodo 2011 – 2012. </a:t>
          </a:r>
        </a:p>
        <a:p>
          <a:endParaRPr lang="es-CO" sz="1200" b="0">
            <a:solidFill>
              <a:schemeClr val="dk1"/>
            </a:solidFill>
            <a:latin typeface="Arial" pitchFamily="34" charset="0"/>
            <a:ea typeface="+mn-ea"/>
            <a:cs typeface="Arial" pitchFamily="34" charset="0"/>
          </a:endParaRPr>
        </a:p>
        <a:p>
          <a:endParaRPr lang="es-CO" sz="1200">
            <a:solidFill>
              <a:schemeClr val="dk1"/>
            </a:solidFill>
            <a:latin typeface="Arial" pitchFamily="34" charset="0"/>
            <a:ea typeface="+mn-ea"/>
            <a:cs typeface="Arial" pitchFamily="34" charset="0"/>
          </a:endParaRPr>
        </a:p>
        <a:p>
          <a:r>
            <a:rPr lang="es-CO" sz="1000">
              <a:solidFill>
                <a:schemeClr val="dk1"/>
              </a:solidFill>
              <a:latin typeface="Arial" pitchFamily="34" charset="0"/>
              <a:ea typeface="+mn-ea"/>
              <a:cs typeface="Arial" pitchFamily="34" charset="0"/>
            </a:rPr>
            <a:t>Dentro de la base de información de Benchmark se encuentran clasificados 84 sectores económicos, las variables utilizadas para los indicadores financieros del sector se obtienen mediante la agrupación de las empresas que conforman el mismo, no necesariamente reúne todos los establecimientos dedicados a esta actividad, para el caso del sector Asesorías empresariales se incluyen las actividades de las divisiones según CIIU Rev.3 dentro de las cuales se encuentran: División 74 Otras actividades empresariales: 7411 Actividades jurídicas; 7412 Actividades de contabilidad, teneduría de libros y auditoría; asesoramiento en materia de impuestos; 7413 Estudio de mercados y realización de encuestas de opinión pública; 7414 Actividades de asesoramiento empresarial y en materia de gestión; 7421 Actividades de arquitectura e ingeniería y actividades conexas de asesoramiento técnico; 7422 Ensayos y análisis técnicos. Para este caso el sector la muestra de BPR contiene 154 empresas con información de ventas, las 35 primeras equivalen al 22.7% del total de empresas y concentran el 80.04% de las ventas.</a:t>
          </a:r>
        </a:p>
        <a:p>
          <a:endParaRPr lang="es-CO" sz="1200">
            <a:latin typeface="Arial" pitchFamily="34" charset="0"/>
            <a:cs typeface="Arial" pitchFamily="34" charset="0"/>
          </a:endParaRPr>
        </a:p>
        <a:p>
          <a:endParaRPr lang="es-CO" sz="1200">
            <a:latin typeface="Arial" pitchFamily="34" charset="0"/>
            <a:cs typeface="Arial" pitchFamily="34" charset="0"/>
          </a:endParaRPr>
        </a:p>
      </xdr:txBody>
    </xdr:sp>
    <xdr:clientData/>
  </xdr:twoCellAnchor>
  <xdr:twoCellAnchor editAs="oneCell">
    <xdr:from>
      <xdr:col>3</xdr:col>
      <xdr:colOff>276225</xdr:colOff>
      <xdr:row>36</xdr:row>
      <xdr:rowOff>19050</xdr:rowOff>
    </xdr:from>
    <xdr:to>
      <xdr:col>10</xdr:col>
      <xdr:colOff>685800</xdr:colOff>
      <xdr:row>44</xdr:row>
      <xdr:rowOff>123825</xdr:rowOff>
    </xdr:to>
    <xdr:pic>
      <xdr:nvPicPr>
        <xdr:cNvPr id="12" name="Imagen 11"/>
        <xdr:cNvPicPr/>
      </xdr:nvPicPr>
      <xdr:blipFill rotWithShape="1">
        <a:blip xmlns:r="http://schemas.openxmlformats.org/officeDocument/2006/relationships" r:embed="rId3"/>
        <a:srcRect l="8154" t="25845" r="2690" b="22419"/>
        <a:stretch/>
      </xdr:blipFill>
      <xdr:spPr bwMode="auto">
        <a:xfrm>
          <a:off x="2562225" y="6896100"/>
          <a:ext cx="5743575" cy="1628775"/>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174949</xdr:colOff>
      <xdr:row>0</xdr:row>
      <xdr:rowOff>155510</xdr:rowOff>
    </xdr:from>
    <xdr:to>
      <xdr:col>13</xdr:col>
      <xdr:colOff>592337</xdr:colOff>
      <xdr:row>2</xdr:row>
      <xdr:rowOff>186088</xdr:rowOff>
    </xdr:to>
    <xdr:sp macro="" textlink="">
      <xdr:nvSpPr>
        <xdr:cNvPr id="2" name="1 Flecha curvada hacia la izquierda">
          <a:hlinkClick xmlns:r="http://schemas.openxmlformats.org/officeDocument/2006/relationships" r:id="rId1"/>
        </xdr:cNvPr>
        <xdr:cNvSpPr/>
      </xdr:nvSpPr>
      <xdr:spPr>
        <a:xfrm>
          <a:off x="9272296" y="155510"/>
          <a:ext cx="417388" cy="438792"/>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twoCellAnchor>
    <xdr:from>
      <xdr:col>1</xdr:col>
      <xdr:colOff>169334</xdr:colOff>
      <xdr:row>3</xdr:row>
      <xdr:rowOff>95250</xdr:rowOff>
    </xdr:from>
    <xdr:to>
      <xdr:col>13</xdr:col>
      <xdr:colOff>678306</xdr:colOff>
      <xdr:row>59</xdr:row>
      <xdr:rowOff>116417</xdr:rowOff>
    </xdr:to>
    <xdr:sp macro="" textlink="">
      <xdr:nvSpPr>
        <xdr:cNvPr id="3" name="2 CuadroTexto"/>
        <xdr:cNvSpPr txBox="1"/>
      </xdr:nvSpPr>
      <xdr:spPr>
        <a:xfrm>
          <a:off x="931334" y="709083"/>
          <a:ext cx="9652972" cy="11451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s-ES" sz="1200" i="0">
              <a:solidFill>
                <a:schemeClr val="dk1"/>
              </a:solidFill>
              <a:effectLst/>
              <a:latin typeface="Arial" pitchFamily="34" charset="0"/>
              <a:ea typeface="+mn-ea"/>
              <a:cs typeface="Arial" pitchFamily="34" charset="0"/>
            </a:rPr>
            <a:t>Dentro de la Base de Datos de BPR Benchmark encontramos el análisis resumido de la situación financiera de cada empresa, basado en los estados financieros individuales - auditados, en los cuales se encuentra la compañia AC Nielsen de Colombia Ltda, para este caso citamos:</a:t>
          </a:r>
          <a:endParaRPr lang="es-CO" sz="1200" i="0">
            <a:solidFill>
              <a:schemeClr val="dk1"/>
            </a:solidFill>
            <a:effectLst/>
            <a:latin typeface="Arial" pitchFamily="34" charset="0"/>
            <a:ea typeface="+mn-ea"/>
            <a:cs typeface="Arial" pitchFamily="34" charset="0"/>
          </a:endParaRPr>
        </a:p>
        <a:p>
          <a:pPr lvl="2" algn="l"/>
          <a:r>
            <a:rPr lang="es-CO" sz="1200" i="0">
              <a:solidFill>
                <a:schemeClr val="dk1"/>
              </a:solidFill>
              <a:effectLst/>
              <a:latin typeface="Arial" pitchFamily="34" charset="0"/>
              <a:ea typeface="+mn-ea"/>
              <a:cs typeface="Arial" pitchFamily="34" charset="0"/>
            </a:rPr>
            <a:t>De acuerdo con el estado financiero Individual - Auditado para el Año de 2014, el total de los ingresos operativos netos aumentó en 0,22%, pasando de COP 99.703,27 milones a COP 99.918,35 millones. El resultado operativo disminuyó de COP 18.139,9 millones a COP 12.903,96 millones, lo que representa una variación de -28.86%. La utilidad neta aumentó 8.48% alcanzando COP 15.015,33 millones al final del período contra COP 13.841,28 millones de igual período del año anterior. El Retorno sobre Capital (Utilidad Neta/Total Patrimonio) pasó de 46.05% a 48.07%, el Retorno sobre Activos (Utilidad Neta/Total Activos) pasó de 18.55% a 15,51% y el Margen Neto de Utilidad (Utilidad Neta/Ventas Netas) pasó de 13.88% a 15.03% si se compara con igual período del año anterior. La Razón de Liquidez (Total Pasivos/Patrimonio) fue de 210,01% comparado con el 148,27% de igual período del año anterior. Finalmente, la Razón Corriente (Activos Corrientes/Pasivos Corrientes) pasó de 1.48 a 1.36 en comparación a igual período del año anterior</a:t>
          </a:r>
          <a:endParaRPr lang="es-CO" sz="1200" i="0">
            <a:solidFill>
              <a:schemeClr val="dk1"/>
            </a:solidFill>
            <a:effectLst/>
            <a:latin typeface="Arial" pitchFamily="34" charset="0"/>
            <a:ea typeface="+mn-ea"/>
            <a:cs typeface="Arial" pitchFamily="34" charset="0"/>
            <a:hlinkClick xmlns:r="http://schemas.openxmlformats.org/officeDocument/2006/relationships" r:id=""/>
          </a:endParaRPr>
        </a:p>
        <a:p>
          <a:r>
            <a:rPr lang="es-CO" sz="900" i="1" u="sng">
              <a:solidFill>
                <a:schemeClr val="dk1"/>
              </a:solidFill>
              <a:effectLst/>
              <a:latin typeface="Arial" pitchFamily="34" charset="0"/>
              <a:ea typeface="+mn-ea"/>
              <a:cs typeface="Arial" pitchFamily="34" charset="0"/>
              <a:hlinkClick xmlns:r="http://schemas.openxmlformats.org/officeDocument/2006/relationships" r:id=""/>
            </a:rPr>
            <a:t>	http://www.securities.com/Public/company-profile/CO/AC_NIELSEN_DE_COLOMBIA_LTDA_es_1180163.html</a:t>
          </a:r>
          <a:r>
            <a:rPr lang="es-CO" sz="900" i="1">
              <a:solidFill>
                <a:schemeClr val="dk1"/>
              </a:solidFill>
              <a:effectLst/>
              <a:latin typeface="Arial" pitchFamily="34" charset="0"/>
              <a:ea typeface="+mn-ea"/>
              <a:cs typeface="Arial" pitchFamily="34" charset="0"/>
            </a:rPr>
            <a:t> </a:t>
          </a:r>
          <a:endParaRPr lang="es-CO" sz="900">
            <a:solidFill>
              <a:schemeClr val="dk1"/>
            </a:solidFill>
            <a:effectLst/>
            <a:latin typeface="Arial" pitchFamily="34" charset="0"/>
            <a:ea typeface="+mn-ea"/>
            <a:cs typeface="Arial" pitchFamily="34" charset="0"/>
          </a:endParaRPr>
        </a:p>
        <a:p>
          <a:endParaRPr lang="es-CO" sz="1200">
            <a:solidFill>
              <a:schemeClr val="dk1"/>
            </a:solidFill>
            <a:latin typeface="Arial" pitchFamily="34" charset="0"/>
            <a:ea typeface="+mn-ea"/>
            <a:cs typeface="Arial" pitchFamily="34" charset="0"/>
          </a:endParaRPr>
        </a:p>
        <a:p>
          <a:r>
            <a:rPr lang="es-CO" sz="1200">
              <a:solidFill>
                <a:schemeClr val="dk1"/>
              </a:solidFill>
              <a:effectLst/>
              <a:latin typeface="Arial" pitchFamily="34" charset="0"/>
              <a:ea typeface="+mn-ea"/>
              <a:cs typeface="Arial" pitchFamily="34" charset="0"/>
            </a:rPr>
            <a:t>En los últimos años el sector ha crecido en promedio 8,09% desviándose así 4 pp (puntos porcentuales) aproximadamente de la media de la Compañía, que creció tan sólo un 3,94% durante el período 2011 -  2014. AC Nielsen de Colombia Ltda ha presentado un nivel promedio de activos de 4,89% durante el período de análisis, obteniendo así resultados por debajo de los presentados por el sector en 6 pp, según las compañías que se encuentran registradas en éste sector dentro de la Base de datos BPR Benchmark.</a:t>
          </a:r>
        </a:p>
        <a:p>
          <a:endParaRPr lang="es-CO" sz="1200">
            <a:solidFill>
              <a:schemeClr val="dk1"/>
            </a:solidFill>
            <a:effectLst/>
            <a:latin typeface="Arial" pitchFamily="34" charset="0"/>
            <a:ea typeface="+mn-ea"/>
            <a:cs typeface="Arial" pitchFamily="34" charset="0"/>
          </a:endParaRPr>
        </a:p>
        <a:p>
          <a:r>
            <a:rPr lang="es-CO" sz="1200">
              <a:solidFill>
                <a:schemeClr val="dk1"/>
              </a:solidFill>
              <a:effectLst/>
              <a:latin typeface="Arial" pitchFamily="34" charset="0"/>
              <a:ea typeface="+mn-ea"/>
              <a:cs typeface="Arial" pitchFamily="34" charset="0"/>
            </a:rPr>
            <a:t>Como podemos observar las ventas de la empresa generaron una utilidad promedio del 16,21%, comportamiento que aleja a la compañía de la media reportada por las empresas que conforman el sector en 12 pp aproximadamente, ya que este presenta un crecimiento promedio del 4,00%. Esto se debe a que a pesar del aumento en los costos de venta y los gastos de administración y ventas, las ventas igualmente crecieron lo suficiente para asumir dicho aumento.</a:t>
          </a:r>
        </a:p>
        <a:p>
          <a:endParaRPr lang="es-CO" sz="1200">
            <a:solidFill>
              <a:schemeClr val="dk1"/>
            </a:solidFill>
            <a:effectLst/>
            <a:latin typeface="Arial" pitchFamily="34" charset="0"/>
            <a:ea typeface="+mn-ea"/>
            <a:cs typeface="Arial" pitchFamily="34" charset="0"/>
          </a:endParaRPr>
        </a:p>
        <a:p>
          <a:r>
            <a:rPr lang="es-CO" sz="1200">
              <a:solidFill>
                <a:schemeClr val="dk1"/>
              </a:solidFill>
              <a:effectLst/>
              <a:latin typeface="Arial" pitchFamily="34" charset="0"/>
              <a:ea typeface="+mn-ea"/>
              <a:cs typeface="Arial" pitchFamily="34" charset="0"/>
            </a:rPr>
            <a:t>Las utilidades de AC Nielsen medidas con base en los recursos invertidos, es decir, en los activos y en el patrimonio tuvieron un comportamiento decreciente. En cuanto a los activos, la compañía pasó de 18,55% en 2013 a 15,51% en 2014, proyectando un nivel promedio de 19,39% y en el caso del patrimonio se evidencia un comportamiento similar pasando de 46,05% en 2013 a 48,07% en 2014, reportando un crecimiento promedio de 41,98% aproximadamente durante el periodo 2011- 2014, lo cual aleja a la empresa del sector en 29 pp.</a:t>
          </a:r>
        </a:p>
        <a:p>
          <a:endParaRPr lang="es-CO" sz="1200">
            <a:solidFill>
              <a:schemeClr val="dk1"/>
            </a:solidFill>
            <a:effectLst/>
            <a:latin typeface="Arial" pitchFamily="34" charset="0"/>
            <a:ea typeface="+mn-ea"/>
            <a:cs typeface="Arial" pitchFamily="34" charset="0"/>
          </a:endParaRPr>
        </a:p>
        <a:p>
          <a:r>
            <a:rPr lang="es-CO" sz="1200">
              <a:solidFill>
                <a:schemeClr val="dk1"/>
              </a:solidFill>
              <a:effectLst/>
              <a:latin typeface="Arial" pitchFamily="34" charset="0"/>
              <a:ea typeface="+mn-ea"/>
              <a:cs typeface="Arial" pitchFamily="34" charset="0"/>
            </a:rPr>
            <a:t>En promedio el Sector apalanco sus actividades operacionales en un 143,12%, mientras la compañía lo hizo en 122,77% durante el periodo 2011 - 2014, lo cual la desvía del sector en 20 pp. El plazo promedio concedido a los clientes para que realicen el pago de los pedidos es aproximadamente de 83 días, cifra que aleja a la compañía del promedio del sector en 19 días, ya que las empresas que conforman el sector lo hacen en una media de 102 días, esto puede ser por una política establecida por la empresa para captar nuevos clientes, fidelizarlos o incrementar las ventas. Concluimos entonces, que existen plazos de más de 3 meses en promedio para qué  la empresa recupere su cartera.</a:t>
          </a:r>
        </a:p>
        <a:p>
          <a:endParaRPr lang="es-CO" sz="1200">
            <a:solidFill>
              <a:schemeClr val="dk1"/>
            </a:solidFill>
            <a:effectLst/>
            <a:latin typeface="Arial" pitchFamily="34" charset="0"/>
            <a:ea typeface="+mn-ea"/>
            <a:cs typeface="Arial" pitchFamily="34" charset="0"/>
          </a:endParaRPr>
        </a:p>
        <a:p>
          <a:endParaRPr lang="es-CO" sz="1200">
            <a:effectLst/>
          </a:endParaRPr>
        </a:p>
        <a:p>
          <a:pPr marL="0" indent="0"/>
          <a:r>
            <a:rPr lang="es-CO" sz="1200">
              <a:solidFill>
                <a:schemeClr val="dk1"/>
              </a:solidFill>
              <a:effectLst/>
              <a:latin typeface="Arial" pitchFamily="34" charset="0"/>
              <a:ea typeface="+mn-ea"/>
              <a:cs typeface="Arial" pitchFamily="34" charset="0"/>
            </a:rPr>
            <a:t>Como podemos observar AC Nielsen de Colombia Ltda, por su objeto social y su misión como compañía prestadora de servicios, no incurre en costos de almacenamiento debido a que no reporta en sus estados financieros Inventarios, en esto difiriendo con algunas empresas del sector y con el promedio reportado por el mismo, ya que éste presenta una rotación promedio de sus inventarios de 3.65 días.</a:t>
          </a:r>
        </a:p>
        <a:p>
          <a:pPr marL="0" indent="0"/>
          <a:endParaRPr lang="es-CO" sz="1200">
            <a:solidFill>
              <a:schemeClr val="dk1"/>
            </a:solidFill>
            <a:effectLst/>
            <a:latin typeface="Arial" pitchFamily="34" charset="0"/>
            <a:ea typeface="+mn-ea"/>
            <a:cs typeface="Arial" pitchFamily="34" charset="0"/>
          </a:endParaRPr>
        </a:p>
        <a:p>
          <a:pPr marL="0" indent="0"/>
          <a:r>
            <a:rPr lang="es-CO" sz="1200">
              <a:solidFill>
                <a:schemeClr val="dk1"/>
              </a:solidFill>
              <a:effectLst/>
              <a:latin typeface="Arial" pitchFamily="34" charset="0"/>
              <a:ea typeface="+mn-ea"/>
              <a:cs typeface="Arial" pitchFamily="34" charset="0"/>
            </a:rPr>
            <a:t>AC Nielsen por cado peso invertido en activos vendió aproximadamente $1.46 en promedio durante el periodo 2011 - 2014, mientras el sector reporta $1,37. Debido a una disminución en el dinero disponible de la compañía en el año 2011, el promedio del capital neto operativo se vio fuertemente afectado y por ello arroja una cifra superior al sector, lo cual también contribuyó la ausencia de inventarios.</a:t>
          </a:r>
        </a:p>
        <a:p>
          <a:pPr marL="0" indent="0"/>
          <a:endParaRPr lang="es-CO" sz="1200">
            <a:solidFill>
              <a:schemeClr val="dk1"/>
            </a:solidFill>
            <a:effectLst/>
            <a:latin typeface="Arial" pitchFamily="34" charset="0"/>
            <a:ea typeface="+mn-ea"/>
            <a:cs typeface="Arial" pitchFamily="34" charset="0"/>
          </a:endParaRPr>
        </a:p>
        <a:p>
          <a:pPr marL="0" indent="0"/>
          <a:r>
            <a:rPr lang="es-CO" sz="1200">
              <a:solidFill>
                <a:schemeClr val="dk1"/>
              </a:solidFill>
              <a:effectLst/>
              <a:latin typeface="Arial" pitchFamily="34" charset="0"/>
              <a:ea typeface="+mn-ea"/>
              <a:cs typeface="Arial" pitchFamily="34" charset="0"/>
            </a:rPr>
            <a:t>El Capital de Trabajo de AC Nielsen de Colombia Ltda representa el 1.99% del total del Sector Asesorías Empresariales en promedio durante el período objeto de análisis, una vez la empresa cancele el total de sus obligaciones corrientes, le queda en promedio $20.061 millones de pesos para atender las obligaciones que surgen en el normal desarrollo de su actividad económica. Como podemos observar que para el año 2012 el capital de trabajo se tuvo su pico más alto en el periodo de análisis, lo cual puede ser consecuencia del plan de inversiones ejecutado por la compañía mediante la transformación de su forma de producción y su mayor inversión en tecnología con el fin de mejorar los procesos de producción. </a:t>
          </a:r>
        </a:p>
        <a:p>
          <a:pPr marL="0" indent="0"/>
          <a:endParaRPr lang="es-CO" sz="1200">
            <a:solidFill>
              <a:schemeClr val="dk1"/>
            </a:solidFill>
            <a:effectLst/>
            <a:latin typeface="Arial" pitchFamily="34" charset="0"/>
            <a:ea typeface="+mn-ea"/>
            <a:cs typeface="Arial" pitchFamily="34" charset="0"/>
          </a:endParaRPr>
        </a:p>
        <a:p>
          <a:pPr marL="0" indent="0" eaLnBrk="1" fontAlgn="auto" latinLnBrk="0" hangingPunct="1"/>
          <a:r>
            <a:rPr lang="es-ES" sz="1200">
              <a:solidFill>
                <a:schemeClr val="dk1"/>
              </a:solidFill>
              <a:effectLst/>
              <a:latin typeface="Arial" pitchFamily="34" charset="0"/>
              <a:ea typeface="+mn-ea"/>
              <a:cs typeface="Arial" pitchFamily="34" charset="0"/>
            </a:rPr>
            <a:t>En promedio las empresas del sector presentan un indicador (Altman Z-Score) positivo ya que este indicador refleja la poca probabilidad de quiebra de 7,60 para la compañía, igualmente las empresas que conforman el sector reflejan un indicador de 3,91 promedio lo cual evidencia la poca probabilidad que tienen de llegar a un nivel de insolvencia financiera.</a:t>
          </a:r>
          <a:endParaRPr lang="es-CO" sz="1200">
            <a:solidFill>
              <a:schemeClr val="dk1"/>
            </a:solidFill>
            <a:effectLst/>
            <a:latin typeface="Arial" pitchFamily="34" charset="0"/>
            <a:ea typeface="+mn-ea"/>
            <a:cs typeface="Arial" pitchFamily="34" charset="0"/>
          </a:endParaRPr>
        </a:p>
        <a:p>
          <a:pPr marL="0" indent="0"/>
          <a:r>
            <a:rPr lang="es-CO" sz="1200">
              <a:solidFill>
                <a:schemeClr val="dk1"/>
              </a:solidFill>
              <a:effectLst/>
              <a:latin typeface="Arial" pitchFamily="34" charset="0"/>
              <a:ea typeface="+mn-ea"/>
              <a:cs typeface="Arial" pitchFamily="34" charset="0"/>
            </a:rPr>
            <a:t>Por tanto y tras analizar los estados financieros de la compañia AC Nilesen de Colombia Ltda, se puede evidenciar un claro ejemplo de que la empresa basa sus operaciones en objetivos financieros encaminados a la obtención de utilidades con sostenibilidad y competitividad tanto  corto como a largo plazo, lo que le permitirá continuar con sus operaciones de mercado proyectadas en el tiempo</a:t>
          </a:r>
          <a:r>
            <a:rPr lang="es-ES" sz="1200">
              <a:solidFill>
                <a:schemeClr val="dk1"/>
              </a:solidFill>
              <a:effectLst/>
              <a:latin typeface="Arial" pitchFamily="34" charset="0"/>
              <a:ea typeface="+mn-ea"/>
              <a:cs typeface="Arial" pitchFamily="34" charset="0"/>
            </a:rPr>
            <a:t>.</a:t>
          </a:r>
          <a:endParaRPr lang="es-CO" sz="1200">
            <a:solidFill>
              <a:schemeClr val="dk1"/>
            </a:solidFill>
            <a:effectLst/>
            <a:latin typeface="Arial" pitchFamily="34" charset="0"/>
            <a:ea typeface="+mn-ea"/>
            <a:cs typeface="Arial" pitchFamily="34" charset="0"/>
          </a:endParaRPr>
        </a:p>
        <a:p>
          <a:pPr marL="0" indent="0"/>
          <a:endParaRPr lang="es-CO" sz="1200">
            <a:solidFill>
              <a:schemeClr val="dk1"/>
            </a:solidFill>
            <a:effectLst/>
            <a:latin typeface="Arial" pitchFamily="34" charset="0"/>
            <a:ea typeface="+mn-ea"/>
            <a:cs typeface="Arial" pitchFamily="34" charset="0"/>
          </a:endParaRPr>
        </a:p>
        <a:p>
          <a:pPr marL="0" indent="0"/>
          <a:endParaRPr lang="es-CO" sz="1200">
            <a:solidFill>
              <a:schemeClr val="dk1"/>
            </a:solidFill>
            <a:effectLst/>
            <a:latin typeface="Arial" pitchFamily="34" charset="0"/>
            <a:ea typeface="+mn-ea"/>
            <a:cs typeface="Arial" pitchFamily="34" charset="0"/>
          </a:endParaRP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r>
            <a:rPr lang="es-CO" sz="1200">
              <a:solidFill>
                <a:schemeClr val="dk1"/>
              </a:solidFill>
              <a:latin typeface="Arial" pitchFamily="34" charset="0"/>
              <a:ea typeface="+mn-ea"/>
              <a:cs typeface="Arial" pitchFamily="34" charset="0"/>
            </a:rPr>
            <a:t>												</a:t>
          </a:r>
        </a:p>
        <a:p>
          <a:endParaRPr lang="es-CO" sz="1200">
            <a:latin typeface="Arial" pitchFamily="34" charset="0"/>
            <a:cs typeface="Arial"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2488406</xdr:colOff>
      <xdr:row>74</xdr:row>
      <xdr:rowOff>142875</xdr:rowOff>
    </xdr:from>
    <xdr:to>
      <xdr:col>14</xdr:col>
      <xdr:colOff>82769</xdr:colOff>
      <xdr:row>80</xdr:row>
      <xdr:rowOff>44670</xdr:rowOff>
    </xdr:to>
    <xdr:graphicFrame macro="">
      <xdr:nvGraphicFramePr>
        <xdr:cNvPr id="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113</xdr:row>
      <xdr:rowOff>0</xdr:rowOff>
    </xdr:from>
    <xdr:to>
      <xdr:col>7</xdr:col>
      <xdr:colOff>314325</xdr:colOff>
      <xdr:row>125</xdr:row>
      <xdr:rowOff>123825</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113</xdr:row>
      <xdr:rowOff>0</xdr:rowOff>
    </xdr:from>
    <xdr:to>
      <xdr:col>18</xdr:col>
      <xdr:colOff>230981</xdr:colOff>
      <xdr:row>126</xdr:row>
      <xdr:rowOff>9525</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135</xdr:row>
      <xdr:rowOff>71438</xdr:rowOff>
    </xdr:from>
    <xdr:to>
      <xdr:col>13</xdr:col>
      <xdr:colOff>0</xdr:colOff>
      <xdr:row>150</xdr:row>
      <xdr:rowOff>128588</xdr:rowOff>
    </xdr:to>
    <xdr:graphicFrame macro="">
      <xdr:nvGraphicFramePr>
        <xdr:cNvPr id="5"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0</xdr:colOff>
      <xdr:row>2</xdr:row>
      <xdr:rowOff>0</xdr:rowOff>
    </xdr:from>
    <xdr:to>
      <xdr:col>19</xdr:col>
      <xdr:colOff>417388</xdr:colOff>
      <xdr:row>4</xdr:row>
      <xdr:rowOff>27932</xdr:rowOff>
    </xdr:to>
    <xdr:sp macro="" textlink="">
      <xdr:nvSpPr>
        <xdr:cNvPr id="6" name="1 Flecha curvada hacia la izquierda">
          <a:hlinkClick xmlns:r="http://schemas.openxmlformats.org/officeDocument/2006/relationships" r:id="rId5"/>
        </xdr:cNvPr>
        <xdr:cNvSpPr/>
      </xdr:nvSpPr>
      <xdr:spPr>
        <a:xfrm>
          <a:off x="11299031" y="392906"/>
          <a:ext cx="417388" cy="432745"/>
        </a:xfrm>
        <a:prstGeom prst="curvedLeftArrow">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endParaRPr lang="es-CO"/>
        </a:p>
      </xdr:txBody>
    </xdr:sp>
    <xdr:clientData/>
  </xdr:twoCellAnchor>
</xdr:wsDr>
</file>

<file path=xl/drawings/drawing6.xml><?xml version="1.0" encoding="utf-8"?>
<c:userShapes xmlns:c="http://schemas.openxmlformats.org/drawingml/2006/chart">
  <cdr:relSizeAnchor xmlns:cdr="http://schemas.openxmlformats.org/drawingml/2006/chartDrawing">
    <cdr:from>
      <cdr:x>0.22364</cdr:x>
      <cdr:y>0.00787</cdr:y>
    </cdr:from>
    <cdr:to>
      <cdr:x>0.84247</cdr:x>
      <cdr:y>0.12592</cdr:y>
    </cdr:to>
    <cdr:sp macro="" textlink="">
      <cdr:nvSpPr>
        <cdr:cNvPr id="2" name="1 CuadroTexto"/>
        <cdr:cNvSpPr txBox="1"/>
      </cdr:nvSpPr>
      <cdr:spPr>
        <a:xfrm xmlns:a="http://schemas.openxmlformats.org/drawingml/2006/main">
          <a:off x="1153784" y="17974"/>
          <a:ext cx="3163019" cy="26957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100" b="1"/>
            <a:t>Cuentas del</a:t>
          </a:r>
          <a:r>
            <a:rPr lang="es-CO" sz="1100" b="1" baseline="0"/>
            <a:t> Capital de Trabajo Neto Operativo </a:t>
          </a:r>
          <a:endParaRPr lang="es-CO" sz="1100" b="1"/>
        </a:p>
      </cdr:txBody>
    </cdr:sp>
  </cdr:relSizeAnchor>
  <cdr:relSizeAnchor xmlns:cdr="http://schemas.openxmlformats.org/drawingml/2006/chartDrawing">
    <cdr:from>
      <cdr:x>0.69209</cdr:x>
      <cdr:y>0.91608</cdr:y>
    </cdr:from>
    <cdr:to>
      <cdr:x>0.98865</cdr:x>
      <cdr:y>0.98272</cdr:y>
    </cdr:to>
    <cdr:sp macro="" textlink="">
      <cdr:nvSpPr>
        <cdr:cNvPr id="3" name="2 CuadroTexto"/>
        <cdr:cNvSpPr txBox="1"/>
      </cdr:nvSpPr>
      <cdr:spPr>
        <a:xfrm xmlns:a="http://schemas.openxmlformats.org/drawingml/2006/main">
          <a:off x="3204013" y="2438073"/>
          <a:ext cx="1372914" cy="1773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900" i="1">
              <a:solidFill>
                <a:schemeClr val="accent1">
                  <a:lumMod val="75000"/>
                </a:schemeClr>
              </a:solidFill>
            </a:rPr>
            <a:t>Cifras en Millones (COP)</a:t>
          </a:r>
        </a:p>
      </cdr:txBody>
    </cdr:sp>
  </cdr:relSizeAnchor>
</c:userShapes>
</file>

<file path=xl/drawings/drawing7.xml><?xml version="1.0" encoding="utf-8"?>
<c:userShapes xmlns:c="http://schemas.openxmlformats.org/drawingml/2006/chart">
  <cdr:relSizeAnchor xmlns:cdr="http://schemas.openxmlformats.org/drawingml/2006/chartDrawing">
    <cdr:from>
      <cdr:x>0.62314</cdr:x>
      <cdr:y>0.91576</cdr:y>
    </cdr:from>
    <cdr:to>
      <cdr:x>0.97801</cdr:x>
      <cdr:y>0.98913</cdr:y>
    </cdr:to>
    <cdr:sp macro="" textlink="">
      <cdr:nvSpPr>
        <cdr:cNvPr id="2" name="1 CuadroTexto"/>
        <cdr:cNvSpPr txBox="1"/>
      </cdr:nvSpPr>
      <cdr:spPr>
        <a:xfrm xmlns:a="http://schemas.openxmlformats.org/drawingml/2006/main">
          <a:off x="2410810" y="2213742"/>
          <a:ext cx="1372914" cy="1773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CO" sz="900" i="1">
              <a:solidFill>
                <a:srgbClr val="4F81BD">
                  <a:lumMod val="75000"/>
                </a:srgbClr>
              </a:solidFill>
            </a:rPr>
            <a:t>Cifras en Millones (COP)</a:t>
          </a:r>
        </a:p>
      </cdr:txBody>
    </cdr:sp>
  </cdr:relSizeAnchor>
</c:userShapes>
</file>

<file path=xl/drawings/drawing8.xml><?xml version="1.0" encoding="utf-8"?>
<c:userShapes xmlns:c="http://schemas.openxmlformats.org/drawingml/2006/chart">
  <cdr:relSizeAnchor xmlns:cdr="http://schemas.openxmlformats.org/drawingml/2006/chartDrawing">
    <cdr:from>
      <cdr:x>0.14391</cdr:x>
      <cdr:y>0.02333</cdr:y>
    </cdr:from>
    <cdr:to>
      <cdr:x>0.8893</cdr:x>
      <cdr:y>0.12333</cdr:y>
    </cdr:to>
    <cdr:sp macro="" textlink="">
      <cdr:nvSpPr>
        <cdr:cNvPr id="2" name="1 CuadroTexto"/>
        <cdr:cNvSpPr txBox="1"/>
      </cdr:nvSpPr>
      <cdr:spPr>
        <a:xfrm xmlns:a="http://schemas.openxmlformats.org/drawingml/2006/main">
          <a:off x="700896" y="62900"/>
          <a:ext cx="3630284" cy="26957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s-CO" sz="1100" b="1"/>
            <a:t>Comprotamiento de las Cuentas</a:t>
          </a:r>
          <a:r>
            <a:rPr lang="es-CO" sz="1100" b="1" baseline="0"/>
            <a:t> del Balance Financiero</a:t>
          </a:r>
          <a:endParaRPr lang="es-CO" sz="1100" b="1"/>
        </a:p>
      </cdr:txBody>
    </cdr:sp>
  </cdr:relSizeAnchor>
  <cdr:relSizeAnchor xmlns:cdr="http://schemas.openxmlformats.org/drawingml/2006/chartDrawing">
    <cdr:from>
      <cdr:x>0.67604</cdr:x>
      <cdr:y>0.91717</cdr:y>
    </cdr:from>
    <cdr:to>
      <cdr:x>0.9897</cdr:x>
      <cdr:y>0.98794</cdr:y>
    </cdr:to>
    <cdr:sp macro="" textlink="">
      <cdr:nvSpPr>
        <cdr:cNvPr id="3" name="1 CuadroTexto"/>
        <cdr:cNvSpPr txBox="1"/>
      </cdr:nvSpPr>
      <cdr:spPr>
        <a:xfrm xmlns:a="http://schemas.openxmlformats.org/drawingml/2006/main">
          <a:off x="2930744" y="2498506"/>
          <a:ext cx="1359776" cy="1928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CO" sz="900" i="1">
              <a:solidFill>
                <a:srgbClr val="4F81BD">
                  <a:lumMod val="75000"/>
                </a:srgbClr>
              </a:solidFill>
            </a:rPr>
            <a:t>Cifras en Millones (COP)</a:t>
          </a:r>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1</xdr:col>
      <xdr:colOff>152401</xdr:colOff>
      <xdr:row>1</xdr:row>
      <xdr:rowOff>0</xdr:rowOff>
    </xdr:from>
    <xdr:to>
      <xdr:col>4</xdr:col>
      <xdr:colOff>847725</xdr:colOff>
      <xdr:row>4</xdr:row>
      <xdr:rowOff>66675</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4401" y="190500"/>
          <a:ext cx="2981324"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xdr:colOff>
      <xdr:row>0</xdr:row>
      <xdr:rowOff>180975</xdr:rowOff>
    </xdr:from>
    <xdr:to>
      <xdr:col>9</xdr:col>
      <xdr:colOff>781051</xdr:colOff>
      <xdr:row>4</xdr:row>
      <xdr:rowOff>19050</xdr:rowOff>
    </xdr:to>
    <xdr:pic>
      <xdr:nvPicPr>
        <xdr:cNvPr id="3" name="Imagen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1" y="180975"/>
          <a:ext cx="3067050" cy="60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ownloads\Informe%20AC%20Nielsen%20de%20Colombia%20LTDA%2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avatacursos.utadeo.edu.co/Documents%20and%20Settings/PC18/Configuraci&#243;n%20local/Archivos%20temporales%20de%20Internet/Content.IE5/1QNLKCPJ/Ana%20Maria/Indicadores%20Sector%20Real/Nalsani%20S.%20A%20-%20analisis%20Dupon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SPECIALIZACI&#211;N%20GERENCIA%20FINANCIERA/FINANZAS%20CORPORATIVAS%20II/Modelo%20Analisis%20Finanza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jairoh.sanchezs/Downloads/Modelo%20diagnostico%20financiero%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SPECIALIZACI&#211;N%20GERENCIA%20FINANCIERA/VALORACI&#211;N%20FINANCIERA%20DE%20EMPRESAS/Modelo%20de%20Proyecci&#243;n%20Nielse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SPECIALIZACI&#211;N%20GERENCIA%20FINANCIERA/FINANZAS%20CORPORATIVAS%20II/TRABAJO%20FINAL%20FINANZAS%20CORPORATIVAS%20I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ESPECIALIZACI&#211;N%20GERENCIA%20FINANCIERA/VALORACI&#211;N%20FINANCIERA%20DE%20EMPRESAS/Base%20datos%20empresa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MODELO%20VALORACI&#211;N%20AC%20NIELSEN%20v4%20(Jair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Descripción de la compañía"/>
      <sheetName val="Informe del Sector "/>
      <sheetName val="Estados Financieros AC Nielsen "/>
      <sheetName val="Comparación de indicadores"/>
      <sheetName val="Empresa respecto al Sector "/>
      <sheetName val="Anexo 1 - Balance"/>
      <sheetName val="Anexo 2 - ER"/>
      <sheetName val="Anexo 3 - FC"/>
      <sheetName val="Anexo 4 - FCL"/>
      <sheetName val="Anexo - Balance Sector "/>
      <sheetName val="Anexo - ER Sector "/>
      <sheetName val="Anexo - FC Sector"/>
      <sheetName val="Hoja1"/>
      <sheetName val="Gráficas 2011"/>
      <sheetName val="Gráficas 2012"/>
      <sheetName val="Resumen Ke"/>
      <sheetName val="TASA DESCUENTO"/>
      <sheetName val="IGBC COLOMBIA"/>
      <sheetName val="EMBI SPREAD"/>
      <sheetName val="Desviación IGBC- EMBI Colombia"/>
      <sheetName val="CIFRAS COMPAÑIA TEORICA Nielsen"/>
      <sheetName val="ESTIMACIONES USA"/>
      <sheetName val="ESTIMACIONES COLOMBIA"/>
      <sheetName val="S&amp;P500"/>
      <sheetName val="Rf USA"/>
      <sheetName val="BETA"/>
    </sheetNames>
    <sheetDataSet>
      <sheetData sheetId="0"/>
      <sheetData sheetId="1"/>
      <sheetData sheetId="2"/>
      <sheetData sheetId="3">
        <row r="58">
          <cell r="B58" t="str">
            <v>2007</v>
          </cell>
          <cell r="C58" t="str">
            <v>2008</v>
          </cell>
          <cell r="D58" t="str">
            <v>2009</v>
          </cell>
          <cell r="E58" t="str">
            <v>2010</v>
          </cell>
          <cell r="F58">
            <v>2011</v>
          </cell>
          <cell r="G58" t="str">
            <v>2012</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ER"/>
      <sheetName val="Indicadores"/>
    </sheetNames>
    <sheetDataSet>
      <sheetData sheetId="0"/>
      <sheetData sheetId="1"/>
      <sheetData sheetId="2">
        <row r="4">
          <cell r="B4">
            <v>2007</v>
          </cell>
          <cell r="C4">
            <v>2008</v>
          </cell>
          <cell r="D4">
            <v>2009</v>
          </cell>
          <cell r="E4">
            <v>2010</v>
          </cell>
          <cell r="F4">
            <v>2011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Descripción de la compañía"/>
      <sheetName val="Informe del Sector "/>
      <sheetName val="Estados Financieros Nalsani S.A"/>
      <sheetName val="Comparación de indicadores"/>
      <sheetName val="VIABILIDAD"/>
      <sheetName val="CIFRAS COMPAÑIA TEORICA Nalsani"/>
      <sheetName val="Empresa respecto al Sector "/>
      <sheetName val="Gráficas"/>
      <sheetName val="Balance Sector "/>
      <sheetName val="ER Sector "/>
      <sheetName val="FC Sector"/>
      <sheetName val="Balance"/>
      <sheetName val="ER"/>
      <sheetName val="FC"/>
      <sheetName val="FCL"/>
      <sheetName val="CV EMPRESA"/>
      <sheetName val="Distribución DIVD"/>
      <sheetName val="ALTMAN"/>
      <sheetName val="Sanidad Financiera"/>
      <sheetName val="CONAN"/>
      <sheetName val="FER"/>
      <sheetName val="FUENTES &amp; USOS"/>
      <sheetName val="FLUJO DE FONDOS"/>
      <sheetName val="Proyección Ventas"/>
      <sheetName val="Proyección Flujos de Caja"/>
      <sheetName val="Cost deu. y Prove."/>
      <sheetName val="Costo patrimon."/>
      <sheetName val="WACC"/>
      <sheetName val="Betas"/>
      <sheetName val="GAF"/>
      <sheetName val="Costos Ocultos"/>
      <sheetName val="TASA DESCUENTO"/>
      <sheetName val="IGBC COLOMBIA"/>
      <sheetName val="EMBI SPREAD"/>
      <sheetName val="Desviación IGBC- EMBI Colombia"/>
      <sheetName val="ESTIMACIONES USA"/>
      <sheetName val="ESTIMACIONES COLOMBIA"/>
      <sheetName val="S&amp;P500"/>
      <sheetName val="Rf USA"/>
      <sheetName val="BE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27">
          <cell r="A227" t="str">
            <v xml:space="preserve">37 RESULTADOS DE EJERCICIOS ANTERIORES </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row r="22">
          <cell r="B22">
            <v>0.34</v>
          </cell>
        </row>
      </sheetData>
      <sheetData sheetId="26"/>
      <sheetData sheetId="27"/>
      <sheetData sheetId="28"/>
      <sheetData sheetId="29">
        <row r="2">
          <cell r="A2">
            <v>1</v>
          </cell>
          <cell r="B2" t="str">
            <v>Advertising</v>
          </cell>
          <cell r="C2">
            <v>68</v>
          </cell>
          <cell r="D2">
            <v>1.3363530701754387</v>
          </cell>
          <cell r="E2">
            <v>6.3275913406229914E-2</v>
          </cell>
          <cell r="F2">
            <v>0.14614045107165086</v>
          </cell>
          <cell r="G2">
            <v>1.2678525886544603</v>
          </cell>
          <cell r="H2">
            <v>5.3161863604732726E-2</v>
          </cell>
          <cell r="I2">
            <v>1.3390383634961469</v>
          </cell>
        </row>
        <row r="3">
          <cell r="A3">
            <v>2</v>
          </cell>
          <cell r="B3" t="str">
            <v>Aerospace/Defense</v>
          </cell>
          <cell r="C3">
            <v>58</v>
          </cell>
          <cell r="D3">
            <v>1.0710857699805072</v>
          </cell>
          <cell r="E3">
            <v>0.20924931357337373</v>
          </cell>
          <cell r="F3">
            <v>0.15202181125654748</v>
          </cell>
          <cell r="G3">
            <v>0.90967421910259061</v>
          </cell>
          <cell r="H3">
            <v>7.4215928850812685E-2</v>
          </cell>
          <cell r="I3">
            <v>0.98259869385460541</v>
          </cell>
        </row>
        <row r="4">
          <cell r="A4">
            <v>3</v>
          </cell>
          <cell r="B4" t="str">
            <v>Air Transport</v>
          </cell>
          <cell r="C4">
            <v>82</v>
          </cell>
          <cell r="D4">
            <v>0.94551315789473656</v>
          </cell>
          <cell r="E4">
            <v>1.0243782950859108</v>
          </cell>
          <cell r="F4">
            <v>0.12662903372489265</v>
          </cell>
          <cell r="G4">
            <v>0.49904047658123263</v>
          </cell>
          <cell r="H4">
            <v>7.425810831695466E-2</v>
          </cell>
          <cell r="I4">
            <v>0.53907085880487915</v>
          </cell>
        </row>
        <row r="5">
          <cell r="A5">
            <v>4</v>
          </cell>
          <cell r="B5" t="str">
            <v>Apparel</v>
          </cell>
          <cell r="C5">
            <v>894</v>
          </cell>
          <cell r="D5">
            <v>0.87540572273986406</v>
          </cell>
          <cell r="E5">
            <v>0.23903267846191414</v>
          </cell>
          <cell r="F5">
            <v>0.1413294247130297</v>
          </cell>
          <cell r="G5">
            <v>0.72632689056046063</v>
          </cell>
          <cell r="H5">
            <v>7.7481609830899467E-2</v>
          </cell>
          <cell r="I5">
            <v>0.78733052728338848</v>
          </cell>
        </row>
        <row r="6">
          <cell r="A6">
            <v>5</v>
          </cell>
          <cell r="B6" t="str">
            <v>Auto &amp; Truck</v>
          </cell>
          <cell r="C6">
            <v>73</v>
          </cell>
          <cell r="D6">
            <v>1.2107483320978512</v>
          </cell>
          <cell r="E6">
            <v>0.35442300695619516</v>
          </cell>
          <cell r="F6">
            <v>0.13921378516172123</v>
          </cell>
          <cell r="G6">
            <v>0.92771789450167852</v>
          </cell>
          <cell r="H6">
            <v>0.12713059785510353</v>
          </cell>
          <cell r="I6">
            <v>1.0628369974041971</v>
          </cell>
        </row>
        <row r="7">
          <cell r="A7">
            <v>6</v>
          </cell>
          <cell r="B7" t="str">
            <v>Auto Parts</v>
          </cell>
          <cell r="C7">
            <v>381</v>
          </cell>
          <cell r="D7">
            <v>1.3349316086827239</v>
          </cell>
          <cell r="E7">
            <v>0.14239282280091189</v>
          </cell>
          <cell r="F7">
            <v>0.16809050187499597</v>
          </cell>
          <cell r="G7">
            <v>1.1935465419383988</v>
          </cell>
          <cell r="H7">
            <v>7.120590653831517E-2</v>
          </cell>
          <cell r="I7">
            <v>1.2850496685330566</v>
          </cell>
        </row>
        <row r="8">
          <cell r="A8">
            <v>7</v>
          </cell>
          <cell r="B8" t="str">
            <v>Bank (Money Center)</v>
          </cell>
          <cell r="C8">
            <v>445</v>
          </cell>
          <cell r="D8">
            <v>0.76241347416159466</v>
          </cell>
          <cell r="E8">
            <v>1.2268295111061691</v>
          </cell>
          <cell r="F8">
            <v>0.20773081573993937</v>
          </cell>
          <cell r="G8">
            <v>0.3866234836449528</v>
          </cell>
          <cell r="H8">
            <v>0.25522554480292242</v>
          </cell>
          <cell r="I8">
            <v>0.51911485543988867</v>
          </cell>
        </row>
        <row r="9">
          <cell r="A9">
            <v>8</v>
          </cell>
          <cell r="B9" t="str">
            <v>Banks (Regional)</v>
          </cell>
          <cell r="C9">
            <v>75</v>
          </cell>
          <cell r="D9">
            <v>0.73325534539473691</v>
          </cell>
          <cell r="E9">
            <v>2.237573451879002</v>
          </cell>
          <cell r="F9">
            <v>0.20455179730338865</v>
          </cell>
          <cell r="G9">
            <v>0.26377289159165035</v>
          </cell>
          <cell r="H9">
            <v>0.26152796539917716</v>
          </cell>
          <cell r="I9">
            <v>0.3571873804730214</v>
          </cell>
        </row>
        <row r="10">
          <cell r="A10">
            <v>9</v>
          </cell>
          <cell r="B10" t="str">
            <v>Beverage (Alcoholic)</v>
          </cell>
          <cell r="C10">
            <v>117</v>
          </cell>
          <cell r="D10">
            <v>0.94886367946894268</v>
          </cell>
          <cell r="E10">
            <v>3.845337429368529E-2</v>
          </cell>
          <cell r="F10">
            <v>0.19899403149881248</v>
          </cell>
          <cell r="G10">
            <v>0.92051067814341392</v>
          </cell>
          <cell r="H10">
            <v>6.7926260148247181E-2</v>
          </cell>
          <cell r="I10">
            <v>0.98759426297089115</v>
          </cell>
        </row>
        <row r="11">
          <cell r="A11">
            <v>10</v>
          </cell>
          <cell r="B11" t="str">
            <v>Beverage (Soft)</v>
          </cell>
          <cell r="C11">
            <v>33</v>
          </cell>
          <cell r="D11">
            <v>1.2368263157894737</v>
          </cell>
          <cell r="E11">
            <v>0.20311817494185053</v>
          </cell>
          <cell r="F11">
            <v>0.1562311475058035</v>
          </cell>
          <cell r="G11">
            <v>1.0558668056737133</v>
          </cell>
          <cell r="H11">
            <v>5.3572021509900945E-2</v>
          </cell>
          <cell r="I11">
            <v>1.1156335502234511</v>
          </cell>
        </row>
        <row r="12">
          <cell r="A12">
            <v>11</v>
          </cell>
          <cell r="B12" t="str">
            <v>Broadcasting</v>
          </cell>
          <cell r="C12">
            <v>61</v>
          </cell>
          <cell r="D12">
            <v>1.3208379501385044</v>
          </cell>
          <cell r="E12">
            <v>0.1362538897128093</v>
          </cell>
          <cell r="F12">
            <v>0.15973350654471935</v>
          </cell>
          <cell r="G12">
            <v>1.185150562247846</v>
          </cell>
          <cell r="H12">
            <v>6.3646227100024669E-2</v>
          </cell>
          <cell r="I12">
            <v>1.2657081079273313</v>
          </cell>
        </row>
        <row r="13">
          <cell r="A13">
            <v>12</v>
          </cell>
          <cell r="B13" t="str">
            <v>Brokerage &amp; Investment Banking</v>
          </cell>
          <cell r="C13">
            <v>379</v>
          </cell>
          <cell r="D13">
            <v>1.0244554597701143</v>
          </cell>
          <cell r="E13">
            <v>1.1241367704308323</v>
          </cell>
          <cell r="F13">
            <v>0.1454391147306287</v>
          </cell>
          <cell r="G13">
            <v>0.52250985817259299</v>
          </cell>
          <cell r="H13">
            <v>0.21681713009629597</v>
          </cell>
          <cell r="I13">
            <v>0.66716201062574065</v>
          </cell>
        </row>
        <row r="14">
          <cell r="A14">
            <v>13</v>
          </cell>
          <cell r="B14" t="str">
            <v>Building Materials</v>
          </cell>
          <cell r="C14">
            <v>214</v>
          </cell>
          <cell r="D14">
            <v>1.0419783741532043</v>
          </cell>
          <cell r="E14">
            <v>0.26146642234472328</v>
          </cell>
          <cell r="F14">
            <v>0.16677289786815974</v>
          </cell>
          <cell r="G14">
            <v>0.85558076962234353</v>
          </cell>
          <cell r="H14">
            <v>6.8149407558589697E-2</v>
          </cell>
          <cell r="I14">
            <v>0.91815230527541658</v>
          </cell>
        </row>
        <row r="15">
          <cell r="A15">
            <v>14</v>
          </cell>
          <cell r="B15" t="str">
            <v>Business &amp; Consumer Services</v>
          </cell>
          <cell r="C15">
            <v>176</v>
          </cell>
          <cell r="D15">
            <v>1.1092154385964912</v>
          </cell>
          <cell r="E15">
            <v>0.11573967829403725</v>
          </cell>
          <cell r="F15">
            <v>0.1454673956291104</v>
          </cell>
          <cell r="G15">
            <v>1.0093840009446824</v>
          </cell>
          <cell r="H15">
            <v>6.1492746177728881E-2</v>
          </cell>
          <cell r="I15">
            <v>1.0755207238236579</v>
          </cell>
        </row>
        <row r="16">
          <cell r="A16">
            <v>15</v>
          </cell>
          <cell r="B16" t="str">
            <v>Cable TV</v>
          </cell>
          <cell r="C16">
            <v>27</v>
          </cell>
          <cell r="D16">
            <v>1.0802753036437247</v>
          </cell>
          <cell r="E16">
            <v>8.0790565107444812E-2</v>
          </cell>
          <cell r="F16">
            <v>9.6787128141131648E-2</v>
          </cell>
          <cell r="G16">
            <v>1.0068074764189343</v>
          </cell>
          <cell r="H16">
            <v>4.7894128326347284E-2</v>
          </cell>
          <cell r="I16">
            <v>1.0574532794857412</v>
          </cell>
        </row>
        <row r="17">
          <cell r="A17">
            <v>16</v>
          </cell>
          <cell r="B17" t="str">
            <v>Chemical (Basic)</v>
          </cell>
          <cell r="C17">
            <v>552</v>
          </cell>
          <cell r="D17">
            <v>1.1173073704375889</v>
          </cell>
          <cell r="E17">
            <v>0.31443145618277873</v>
          </cell>
          <cell r="F17">
            <v>0.15570343541010903</v>
          </cell>
          <cell r="G17">
            <v>0.88291652118413388</v>
          </cell>
          <cell r="H17">
            <v>7.3393517590845822E-2</v>
          </cell>
          <cell r="I17">
            <v>0.95284949754352299</v>
          </cell>
        </row>
        <row r="18">
          <cell r="A18">
            <v>17</v>
          </cell>
          <cell r="B18" t="str">
            <v>Chemical (Diversified)</v>
          </cell>
          <cell r="C18">
            <v>39</v>
          </cell>
          <cell r="D18">
            <v>1.320921783625731</v>
          </cell>
          <cell r="E18">
            <v>0.33170330799695996</v>
          </cell>
          <cell r="F18">
            <v>0.14764363801201982</v>
          </cell>
          <cell r="G18">
            <v>1.0297742906818583</v>
          </cell>
          <cell r="H18">
            <v>5.8170215552706836E-2</v>
          </cell>
          <cell r="I18">
            <v>1.0933762211461329</v>
          </cell>
        </row>
        <row r="19">
          <cell r="A19">
            <v>18</v>
          </cell>
          <cell r="B19" t="str">
            <v>Chemical (Specialty)</v>
          </cell>
          <cell r="C19">
            <v>416</v>
          </cell>
          <cell r="D19">
            <v>1.2304580767077253</v>
          </cell>
          <cell r="E19">
            <v>0.27659049024689525</v>
          </cell>
          <cell r="F19">
            <v>0.16485160416471348</v>
          </cell>
          <cell r="G19">
            <v>0.99956455719534187</v>
          </cell>
          <cell r="H19">
            <v>6.4195843714982659E-2</v>
          </cell>
          <cell r="I19">
            <v>1.0681343425139747</v>
          </cell>
        </row>
        <row r="20">
          <cell r="A20">
            <v>19</v>
          </cell>
          <cell r="B20" t="str">
            <v>Coal &amp; Related Energy</v>
          </cell>
          <cell r="C20">
            <v>109</v>
          </cell>
          <cell r="D20">
            <v>1.4134377013963484</v>
          </cell>
          <cell r="E20">
            <v>0.61132169020913751</v>
          </cell>
          <cell r="F20">
            <v>0.11671580476738591</v>
          </cell>
          <cell r="G20">
            <v>0.91783409995637466</v>
          </cell>
          <cell r="H20">
            <v>0.13945017571293644</v>
          </cell>
          <cell r="I20">
            <v>1.0665670645122369</v>
          </cell>
        </row>
        <row r="21">
          <cell r="A21">
            <v>20</v>
          </cell>
          <cell r="B21" t="str">
            <v>Computer Services</v>
          </cell>
          <cell r="C21">
            <v>413</v>
          </cell>
          <cell r="D21">
            <v>1.1073117615467236</v>
          </cell>
          <cell r="E21">
            <v>9.3493735082773352E-2</v>
          </cell>
          <cell r="F21">
            <v>0.13419096011107992</v>
          </cell>
          <cell r="G21">
            <v>1.0243897461706126</v>
          </cell>
          <cell r="H21">
            <v>5.77572509247231E-2</v>
          </cell>
          <cell r="I21">
            <v>1.0871824136359289</v>
          </cell>
        </row>
        <row r="22">
          <cell r="A22">
            <v>21</v>
          </cell>
          <cell r="B22" t="str">
            <v>Computers/Peripherals</v>
          </cell>
          <cell r="C22">
            <v>198</v>
          </cell>
          <cell r="D22">
            <v>1.3228527700831025</v>
          </cell>
          <cell r="E22">
            <v>0.19566907196297964</v>
          </cell>
          <cell r="F22">
            <v>0.13289983408938166</v>
          </cell>
          <cell r="G22">
            <v>1.1309675219881568</v>
          </cell>
          <cell r="H22">
            <v>0.16647268273336138</v>
          </cell>
          <cell r="I22">
            <v>1.3568451789881404</v>
          </cell>
        </row>
        <row r="23">
          <cell r="A23">
            <v>22</v>
          </cell>
          <cell r="B23" t="str">
            <v>Construction Supplies</v>
          </cell>
          <cell r="C23">
            <v>498</v>
          </cell>
          <cell r="D23">
            <v>1.0875319757264563</v>
          </cell>
          <cell r="E23">
            <v>0.45298676085055339</v>
          </cell>
          <cell r="F23">
            <v>0.13971232298982031</v>
          </cell>
          <cell r="G23">
            <v>0.78256660752299312</v>
          </cell>
          <cell r="H23">
            <v>0.11430653060276401</v>
          </cell>
          <cell r="I23">
            <v>0.88356370975115517</v>
          </cell>
        </row>
        <row r="24">
          <cell r="A24">
            <v>23</v>
          </cell>
          <cell r="B24" t="str">
            <v>Diversified</v>
          </cell>
          <cell r="C24">
            <v>237</v>
          </cell>
          <cell r="D24">
            <v>0.93914776432231006</v>
          </cell>
          <cell r="E24">
            <v>0.91914396252499309</v>
          </cell>
          <cell r="F24">
            <v>0.13268700447468745</v>
          </cell>
          <cell r="G24">
            <v>0.52256584671756545</v>
          </cell>
          <cell r="H24">
            <v>0.11694809748778537</v>
          </cell>
          <cell r="I24">
            <v>0.59177251669002229</v>
          </cell>
        </row>
        <row r="25">
          <cell r="A25">
            <v>24</v>
          </cell>
          <cell r="B25" t="str">
            <v>Drugs (Biotechnology)</v>
          </cell>
          <cell r="C25">
            <v>146</v>
          </cell>
          <cell r="D25">
            <v>1.2123404210526321</v>
          </cell>
          <cell r="E25">
            <v>4.1578056656593726E-2</v>
          </cell>
          <cell r="F25">
            <v>6.6459134174714829E-2</v>
          </cell>
          <cell r="G25">
            <v>1.1670419053855563</v>
          </cell>
          <cell r="H25">
            <v>4.0266264995504016E-2</v>
          </cell>
          <cell r="I25">
            <v>1.2160059220801374</v>
          </cell>
        </row>
        <row r="26">
          <cell r="A26">
            <v>25</v>
          </cell>
          <cell r="B26" t="str">
            <v>Drugs (Pharmaceutical)</v>
          </cell>
          <cell r="C26">
            <v>553</v>
          </cell>
          <cell r="D26">
            <v>1.1209778312512801</v>
          </cell>
          <cell r="E26">
            <v>8.0577394942266553E-2</v>
          </cell>
          <cell r="F26">
            <v>0.15699508075214155</v>
          </cell>
          <cell r="G26">
            <v>1.0496763205391042</v>
          </cell>
          <cell r="H26">
            <v>5.1107612199554592E-2</v>
          </cell>
          <cell r="I26">
            <v>1.1062121838412871</v>
          </cell>
        </row>
        <row r="27">
          <cell r="A27">
            <v>26</v>
          </cell>
          <cell r="B27" t="str">
            <v>Education</v>
          </cell>
          <cell r="C27">
            <v>81</v>
          </cell>
          <cell r="D27">
            <v>1.2210112781954889</v>
          </cell>
          <cell r="E27">
            <v>0.20296859996617941</v>
          </cell>
          <cell r="F27">
            <v>0.12893531403568184</v>
          </cell>
          <cell r="G27">
            <v>1.0375701429714395</v>
          </cell>
          <cell r="H27">
            <v>7.2367204932038631E-2</v>
          </cell>
          <cell r="I27">
            <v>1.1185138650638411</v>
          </cell>
        </row>
        <row r="28">
          <cell r="A28">
            <v>27</v>
          </cell>
          <cell r="B28" t="str">
            <v>Electrical Equipment</v>
          </cell>
          <cell r="C28">
            <v>513</v>
          </cell>
          <cell r="D28">
            <v>1.2176790137107476</v>
          </cell>
          <cell r="E28">
            <v>0.16705538248696689</v>
          </cell>
          <cell r="F28">
            <v>0.14833747681950407</v>
          </cell>
          <cell r="G28">
            <v>1.0660123155881289</v>
          </cell>
          <cell r="H28">
            <v>8.2186783541507102E-2</v>
          </cell>
          <cell r="I28">
            <v>1.1614697810753722</v>
          </cell>
        </row>
        <row r="29">
          <cell r="A29">
            <v>28</v>
          </cell>
          <cell r="B29" t="str">
            <v>Electronics (Consumer &amp; Office)</v>
          </cell>
          <cell r="C29">
            <v>90</v>
          </cell>
          <cell r="D29">
            <v>1.3764288847117794</v>
          </cell>
          <cell r="E29">
            <v>0.45983263751011044</v>
          </cell>
          <cell r="F29">
            <v>0.10598802544191882</v>
          </cell>
          <cell r="G29">
            <v>0.97543256988954807</v>
          </cell>
          <cell r="H29">
            <v>0.14464904710556795</v>
          </cell>
          <cell r="I29">
            <v>1.1403887101414576</v>
          </cell>
        </row>
        <row r="30">
          <cell r="A30">
            <v>29</v>
          </cell>
          <cell r="B30" t="str">
            <v>Electronics (General)</v>
          </cell>
          <cell r="C30">
            <v>721</v>
          </cell>
          <cell r="D30">
            <v>1.3756352554179563</v>
          </cell>
          <cell r="E30">
            <v>0.16801467765003694</v>
          </cell>
          <cell r="F30">
            <v>0.12989177415512532</v>
          </cell>
          <cell r="G30">
            <v>1.2001798231910963</v>
          </cell>
          <cell r="H30">
            <v>0.12260016961531485</v>
          </cell>
          <cell r="I30">
            <v>1.3678824426771228</v>
          </cell>
        </row>
        <row r="31">
          <cell r="A31">
            <v>30</v>
          </cell>
          <cell r="B31" t="str">
            <v>Engineering/Construction</v>
          </cell>
          <cell r="C31">
            <v>677</v>
          </cell>
          <cell r="D31">
            <v>1.2691985940246056</v>
          </cell>
          <cell r="E31">
            <v>0.79305754635981796</v>
          </cell>
          <cell r="F31">
            <v>0.14457853927701597</v>
          </cell>
          <cell r="G31">
            <v>0.7561962405284598</v>
          </cell>
          <cell r="H31">
            <v>0.18880261604798826</v>
          </cell>
          <cell r="I31">
            <v>0.93219758284278986</v>
          </cell>
        </row>
        <row r="32">
          <cell r="A32">
            <v>31</v>
          </cell>
          <cell r="B32" t="str">
            <v>Entertainment</v>
          </cell>
          <cell r="C32">
            <v>151</v>
          </cell>
          <cell r="D32">
            <v>1.3523608746130031</v>
          </cell>
          <cell r="E32">
            <v>7.0070160100704659E-2</v>
          </cell>
          <cell r="F32">
            <v>0.12176555647496168</v>
          </cell>
          <cell r="G32">
            <v>1.2739636629690148</v>
          </cell>
          <cell r="H32">
            <v>5.7590789297408781E-2</v>
          </cell>
          <cell r="I32">
            <v>1.3518158019903486</v>
          </cell>
        </row>
        <row r="33">
          <cell r="A33">
            <v>32</v>
          </cell>
          <cell r="B33" t="str">
            <v>Environmental &amp; Waste Services</v>
          </cell>
          <cell r="C33">
            <v>94</v>
          </cell>
          <cell r="D33">
            <v>1.8315383077948031</v>
          </cell>
          <cell r="E33">
            <v>0.11610851155217594</v>
          </cell>
          <cell r="F33">
            <v>0.12633177398325843</v>
          </cell>
          <cell r="G33">
            <v>1.6628575139345836</v>
          </cell>
          <cell r="H33">
            <v>8.3960677539659981E-2</v>
          </cell>
          <cell r="I33">
            <v>1.8152687042608666</v>
          </cell>
        </row>
        <row r="34">
          <cell r="A34">
            <v>33</v>
          </cell>
          <cell r="B34" t="str">
            <v>Farming/Agriculture</v>
          </cell>
          <cell r="C34">
            <v>282</v>
          </cell>
          <cell r="D34">
            <v>0.96659429824561482</v>
          </cell>
          <cell r="E34">
            <v>0.27831517899242125</v>
          </cell>
          <cell r="F34">
            <v>0.10234148376003629</v>
          </cell>
          <cell r="G34">
            <v>0.77337938658862404</v>
          </cell>
          <cell r="H34">
            <v>6.1295720246189005E-2</v>
          </cell>
          <cell r="I34">
            <v>0.82387968529498357</v>
          </cell>
        </row>
        <row r="35">
          <cell r="A35">
            <v>34</v>
          </cell>
          <cell r="B35" t="str">
            <v>Financial Svcs. (Non-bank &amp; Insurance)</v>
          </cell>
          <cell r="C35">
            <v>509</v>
          </cell>
          <cell r="D35">
            <v>0.66603755106945484</v>
          </cell>
          <cell r="E35">
            <v>1.010784068198576</v>
          </cell>
          <cell r="F35">
            <v>0.16900956891597149</v>
          </cell>
          <cell r="G35">
            <v>0.36198639497515983</v>
          </cell>
          <cell r="H35">
            <v>0.13408894165927024</v>
          </cell>
          <cell r="I35">
            <v>0.41804108111149768</v>
          </cell>
        </row>
        <row r="36">
          <cell r="A36">
            <v>35</v>
          </cell>
          <cell r="B36" t="str">
            <v>Food Processing</v>
          </cell>
          <cell r="C36">
            <v>815</v>
          </cell>
          <cell r="D36">
            <v>0.87115197191091065</v>
          </cell>
          <cell r="E36">
            <v>0.2811135862400857</v>
          </cell>
          <cell r="F36">
            <v>0.14137625447026311</v>
          </cell>
          <cell r="G36">
            <v>0.70176612151227058</v>
          </cell>
          <cell r="H36">
            <v>7.17009810044065E-2</v>
          </cell>
          <cell r="I36">
            <v>0.75596990533456732</v>
          </cell>
        </row>
        <row r="37">
          <cell r="A37">
            <v>36</v>
          </cell>
          <cell r="B37" t="str">
            <v>Food Wholesalers</v>
          </cell>
          <cell r="C37">
            <v>53</v>
          </cell>
          <cell r="D37">
            <v>0.75980643274853799</v>
          </cell>
          <cell r="E37">
            <v>0.53190317211540383</v>
          </cell>
          <cell r="F37">
            <v>0.12906231536637155</v>
          </cell>
          <cell r="G37">
            <v>0.51925787607836904</v>
          </cell>
          <cell r="H37">
            <v>5.4617121529538251E-2</v>
          </cell>
          <cell r="I37">
            <v>0.54925669578285374</v>
          </cell>
        </row>
        <row r="38">
          <cell r="A38">
            <v>37</v>
          </cell>
          <cell r="B38" t="str">
            <v>Furn/Home Furnishings</v>
          </cell>
          <cell r="C38">
            <v>196</v>
          </cell>
          <cell r="D38">
            <v>1.0734797238999141</v>
          </cell>
          <cell r="E38">
            <v>0.11318963235180399</v>
          </cell>
          <cell r="F38">
            <v>0.16504783291531219</v>
          </cell>
          <cell r="G38">
            <v>0.98078752618416909</v>
          </cell>
          <cell r="H38">
            <v>0.14484947418813413</v>
          </cell>
          <cell r="I38">
            <v>1.1469179946454755</v>
          </cell>
        </row>
        <row r="39">
          <cell r="A39">
            <v>38</v>
          </cell>
          <cell r="B39" t="str">
            <v>Green &amp; Renewable Energy</v>
          </cell>
          <cell r="C39">
            <v>71</v>
          </cell>
          <cell r="D39">
            <v>1.0559283400809718</v>
          </cell>
          <cell r="E39">
            <v>0.59600975445592508</v>
          </cell>
          <cell r="F39">
            <v>0.1047973347571246</v>
          </cell>
          <cell r="G39">
            <v>0.68855183730825653</v>
          </cell>
          <cell r="H39">
            <v>2.6276278555865874E-2</v>
          </cell>
          <cell r="I39">
            <v>0.70713265184405916</v>
          </cell>
        </row>
        <row r="40">
          <cell r="A40">
            <v>39</v>
          </cell>
          <cell r="B40" t="str">
            <v>Healthcare Products</v>
          </cell>
          <cell r="C40">
            <v>155</v>
          </cell>
          <cell r="D40">
            <v>1.2103294495781436</v>
          </cell>
          <cell r="E40">
            <v>5.8593686783651663E-2</v>
          </cell>
          <cell r="F40">
            <v>0.10543951176603164</v>
          </cell>
          <cell r="G40">
            <v>1.150048947358044</v>
          </cell>
          <cell r="H40">
            <v>5.7701239214017423E-2</v>
          </cell>
          <cell r="I40">
            <v>1.2204716754575529</v>
          </cell>
        </row>
        <row r="41">
          <cell r="A41">
            <v>40</v>
          </cell>
          <cell r="B41" t="str">
            <v>Healthcare Support Services</v>
          </cell>
          <cell r="C41">
            <v>99</v>
          </cell>
          <cell r="D41">
            <v>1.6234928229665067</v>
          </cell>
          <cell r="E41">
            <v>0.227246133500216</v>
          </cell>
          <cell r="F41">
            <v>0.1660466879899791</v>
          </cell>
          <cell r="G41">
            <v>1.3648386182139873</v>
          </cell>
          <cell r="H41">
            <v>0.11205446437396832</v>
          </cell>
          <cell r="I41">
            <v>1.5370747004789318</v>
          </cell>
        </row>
        <row r="42">
          <cell r="A42">
            <v>41</v>
          </cell>
          <cell r="B42" t="str">
            <v>Heathcare Information and Technology</v>
          </cell>
          <cell r="C42">
            <v>45</v>
          </cell>
          <cell r="D42">
            <v>1.3693362573099412</v>
          </cell>
          <cell r="E42">
            <v>4.4678277624143815E-2</v>
          </cell>
          <cell r="F42">
            <v>7.2060763884600268E-2</v>
          </cell>
          <cell r="G42">
            <v>1.3148252754143139</v>
          </cell>
          <cell r="H42">
            <v>2.2860050375035138E-2</v>
          </cell>
          <cell r="I42">
            <v>1.3455854260374429</v>
          </cell>
        </row>
        <row r="43">
          <cell r="A43">
            <v>42</v>
          </cell>
          <cell r="B43" t="str">
            <v>Homebuilding</v>
          </cell>
          <cell r="C43">
            <v>30</v>
          </cell>
          <cell r="D43">
            <v>1.7502838345864664</v>
          </cell>
          <cell r="E43">
            <v>0.83733898077762303</v>
          </cell>
          <cell r="F43">
            <v>0.11572936416427201</v>
          </cell>
          <cell r="G43">
            <v>1.0056592551625325</v>
          </cell>
          <cell r="H43">
            <v>9.8021430493371822E-2</v>
          </cell>
          <cell r="I43">
            <v>1.1149480588132117</v>
          </cell>
        </row>
        <row r="44">
          <cell r="A44">
            <v>43</v>
          </cell>
          <cell r="B44" t="str">
            <v>Hospitals/Healthcare Facilities</v>
          </cell>
          <cell r="C44">
            <v>82</v>
          </cell>
          <cell r="D44">
            <v>0.58664722617354181</v>
          </cell>
          <cell r="E44">
            <v>0.18148001641799275</v>
          </cell>
          <cell r="F44">
            <v>0.19078627367235432</v>
          </cell>
          <cell r="G44">
            <v>0.51152643803289322</v>
          </cell>
          <cell r="H44">
            <v>3.0951873690492362E-2</v>
          </cell>
          <cell r="I44">
            <v>0.52786484401035316</v>
          </cell>
        </row>
        <row r="45">
          <cell r="A45">
            <v>44</v>
          </cell>
          <cell r="B45" t="str">
            <v>Hotel/Gaming</v>
          </cell>
          <cell r="C45">
            <v>399</v>
          </cell>
          <cell r="D45">
            <v>0.91934260857060679</v>
          </cell>
          <cell r="E45">
            <v>0.29774259203971992</v>
          </cell>
          <cell r="F45">
            <v>0.13573563969506558</v>
          </cell>
          <cell r="G45">
            <v>0.73118739206066419</v>
          </cell>
          <cell r="H45">
            <v>0.11541810234544941</v>
          </cell>
          <cell r="I45">
            <v>0.82659095104635483</v>
          </cell>
        </row>
        <row r="46">
          <cell r="A46">
            <v>45</v>
          </cell>
          <cell r="B46" t="str">
            <v>Household Products</v>
          </cell>
          <cell r="C46">
            <v>221</v>
          </cell>
          <cell r="D46">
            <v>1.0589694311536417</v>
          </cell>
          <cell r="E46">
            <v>7.7099650131183473E-2</v>
          </cell>
          <cell r="F46">
            <v>0.15200374928384533</v>
          </cell>
          <cell r="G46">
            <v>0.99398263361434247</v>
          </cell>
          <cell r="H46">
            <v>4.6872187993979721E-2</v>
          </cell>
          <cell r="I46">
            <v>1.0428639486684752</v>
          </cell>
        </row>
        <row r="47">
          <cell r="A47">
            <v>46</v>
          </cell>
          <cell r="B47" t="str">
            <v>Information Services</v>
          </cell>
          <cell r="C47">
            <v>51</v>
          </cell>
          <cell r="D47">
            <v>1.1747552631578948</v>
          </cell>
          <cell r="E47">
            <v>0.14040751676489746</v>
          </cell>
          <cell r="F47">
            <v>0.18682938218198153</v>
          </cell>
          <cell r="G47">
            <v>1.0543720523958784</v>
          </cell>
          <cell r="H47">
            <v>4.7263480221275987E-2</v>
          </cell>
          <cell r="I47">
            <v>1.1066774816617291</v>
          </cell>
        </row>
        <row r="48">
          <cell r="A48">
            <v>47</v>
          </cell>
          <cell r="B48" t="str">
            <v>Insurance (General)</v>
          </cell>
          <cell r="C48">
            <v>140</v>
          </cell>
          <cell r="D48">
            <v>0.64411133603238879</v>
          </cell>
          <cell r="E48">
            <v>0.36694439856441291</v>
          </cell>
          <cell r="F48">
            <v>0.13239047197612297</v>
          </cell>
          <cell r="G48">
            <v>0.48856849324280416</v>
          </cell>
          <cell r="H48">
            <v>0.11685159226438005</v>
          </cell>
          <cell r="I48">
            <v>0.55321222227585376</v>
          </cell>
        </row>
        <row r="49">
          <cell r="A49">
            <v>48</v>
          </cell>
          <cell r="B49" t="str">
            <v>Insurance (Life)</v>
          </cell>
          <cell r="C49">
            <v>57</v>
          </cell>
          <cell r="D49">
            <v>0.73396325719960287</v>
          </cell>
          <cell r="E49">
            <v>0.47176218347412846</v>
          </cell>
          <cell r="F49">
            <v>0.12845282424765722</v>
          </cell>
          <cell r="G49">
            <v>0.52011231722364182</v>
          </cell>
          <cell r="H49">
            <v>0.19860914746965017</v>
          </cell>
          <cell r="I49">
            <v>0.64901204647072563</v>
          </cell>
        </row>
        <row r="50">
          <cell r="A50">
            <v>49</v>
          </cell>
          <cell r="B50" t="str">
            <v>Insurance (Prop/Cas.)</v>
          </cell>
          <cell r="C50">
            <v>130</v>
          </cell>
          <cell r="D50">
            <v>0.40163423264042453</v>
          </cell>
          <cell r="E50">
            <v>0.26360298618026667</v>
          </cell>
          <cell r="F50">
            <v>0.16424312144519324</v>
          </cell>
          <cell r="G50">
            <v>0.32912529435901439</v>
          </cell>
          <cell r="H50">
            <v>0.12258394516545044</v>
          </cell>
          <cell r="I50">
            <v>0.37510744480402297</v>
          </cell>
        </row>
        <row r="51">
          <cell r="A51">
            <v>50</v>
          </cell>
          <cell r="B51" t="str">
            <v>Investments &amp; Asset Management</v>
          </cell>
          <cell r="C51">
            <v>303</v>
          </cell>
          <cell r="D51">
            <v>0.86651054679500328</v>
          </cell>
          <cell r="E51">
            <v>1.9028697696898225</v>
          </cell>
          <cell r="F51">
            <v>7.7686579376354467E-2</v>
          </cell>
          <cell r="G51">
            <v>0.31451805241909603</v>
          </cell>
          <cell r="H51">
            <v>8.5648848273946102E-2</v>
          </cell>
          <cell r="I51">
            <v>0.34397950046365544</v>
          </cell>
        </row>
        <row r="52">
          <cell r="A52">
            <v>51</v>
          </cell>
          <cell r="B52" t="str">
            <v>Machinery</v>
          </cell>
          <cell r="C52">
            <v>648</v>
          </cell>
          <cell r="D52">
            <v>1.2501780448574729</v>
          </cell>
          <cell r="E52">
            <v>0.13554862047754676</v>
          </cell>
          <cell r="F52">
            <v>0.15697807507616876</v>
          </cell>
          <cell r="G52">
            <v>1.1219700161746087</v>
          </cell>
          <cell r="H52">
            <v>6.0510673448067938E-2</v>
          </cell>
          <cell r="I52">
            <v>1.1942339146016787</v>
          </cell>
        </row>
        <row r="53">
          <cell r="A53">
            <v>52</v>
          </cell>
          <cell r="B53" t="str">
            <v>Metals &amp; Mining</v>
          </cell>
          <cell r="C53">
            <v>301</v>
          </cell>
          <cell r="D53">
            <v>1.4386402856583835</v>
          </cell>
          <cell r="E53">
            <v>0.49328958462616129</v>
          </cell>
          <cell r="F53">
            <v>0.10607356071575541</v>
          </cell>
          <cell r="G53">
            <v>0.99838697199127135</v>
          </cell>
          <cell r="H53">
            <v>7.891580988979538E-2</v>
          </cell>
          <cell r="I53">
            <v>1.0839258590160121</v>
          </cell>
        </row>
        <row r="54">
          <cell r="A54">
            <v>53</v>
          </cell>
          <cell r="B54" t="str">
            <v>Office Equipment &amp; Services</v>
          </cell>
          <cell r="C54">
            <v>61</v>
          </cell>
          <cell r="D54">
            <v>0.88880506822612082</v>
          </cell>
          <cell r="E54">
            <v>0.10165691862708111</v>
          </cell>
          <cell r="F54">
            <v>0.12264558660771527</v>
          </cell>
          <cell r="G54">
            <v>0.81602453652737961</v>
          </cell>
          <cell r="H54">
            <v>7.2247103186626777E-2</v>
          </cell>
          <cell r="I54">
            <v>0.87957099280448925</v>
          </cell>
        </row>
        <row r="55">
          <cell r="A55">
            <v>54</v>
          </cell>
          <cell r="B55" t="str">
            <v>Oil/Gas (Integrated)</v>
          </cell>
          <cell r="C55">
            <v>22</v>
          </cell>
          <cell r="D55">
            <v>1.5684545454545455</v>
          </cell>
          <cell r="E55">
            <v>0.67715576608544503</v>
          </cell>
          <cell r="F55">
            <v>0.27671608336879477</v>
          </cell>
          <cell r="G55">
            <v>1.0528124210687881</v>
          </cell>
          <cell r="H55">
            <v>8.0159959293595887E-2</v>
          </cell>
          <cell r="I55">
            <v>1.1445603305768968</v>
          </cell>
        </row>
        <row r="56">
          <cell r="A56">
            <v>55</v>
          </cell>
          <cell r="B56" t="str">
            <v>Oil/Gas (Production and Exploration)</v>
          </cell>
          <cell r="C56">
            <v>132</v>
          </cell>
          <cell r="D56">
            <v>2.2963578947368424</v>
          </cell>
          <cell r="E56">
            <v>0.55813038947343718</v>
          </cell>
          <cell r="F56">
            <v>7.8891300977584233E-2</v>
          </cell>
          <cell r="G56">
            <v>1.516650009929857</v>
          </cell>
          <cell r="H56">
            <v>7.1371448846425656E-2</v>
          </cell>
          <cell r="I56">
            <v>1.6332149254358184</v>
          </cell>
        </row>
        <row r="57">
          <cell r="A57">
            <v>56</v>
          </cell>
          <cell r="B57" t="str">
            <v>Oil/Gas Distribution</v>
          </cell>
          <cell r="C57">
            <v>81</v>
          </cell>
          <cell r="D57">
            <v>1.7769453178400554</v>
          </cell>
          <cell r="E57">
            <v>0.9780712642053625</v>
          </cell>
          <cell r="F57">
            <v>0.1271230616069472</v>
          </cell>
          <cell r="G57">
            <v>0.95857525614361139</v>
          </cell>
          <cell r="H57">
            <v>6.9249908545503835E-2</v>
          </cell>
          <cell r="I57">
            <v>1.0298954197744234</v>
          </cell>
        </row>
        <row r="58">
          <cell r="A58">
            <v>57</v>
          </cell>
          <cell r="B58" t="str">
            <v>Oilfield Svcs/Equip.</v>
          </cell>
          <cell r="C58">
            <v>248</v>
          </cell>
          <cell r="D58">
            <v>1.5839826869806091</v>
          </cell>
          <cell r="E58">
            <v>0.49913362478459655</v>
          </cell>
          <cell r="F58">
            <v>0.12893604000770045</v>
          </cell>
          <cell r="G58">
            <v>1.1039920090640012</v>
          </cell>
          <cell r="H58">
            <v>6.2997280579441858E-2</v>
          </cell>
          <cell r="I58">
            <v>1.178216440766265</v>
          </cell>
        </row>
        <row r="59">
          <cell r="A59">
            <v>58</v>
          </cell>
          <cell r="B59" t="str">
            <v>Packaging &amp; Container</v>
          </cell>
          <cell r="C59">
            <v>281</v>
          </cell>
          <cell r="D59">
            <v>0.75094938495664432</v>
          </cell>
          <cell r="E59">
            <v>0.2731049826536785</v>
          </cell>
          <cell r="F59">
            <v>0.17370166143068386</v>
          </cell>
          <cell r="G59">
            <v>0.61268670783860979</v>
          </cell>
          <cell r="H59">
            <v>6.9097866088731572E-2</v>
          </cell>
          <cell r="I59">
            <v>0.65816446812121043</v>
          </cell>
        </row>
        <row r="60">
          <cell r="A60">
            <v>59</v>
          </cell>
          <cell r="B60" t="str">
            <v>Paper/Forest Products</v>
          </cell>
          <cell r="C60">
            <v>191</v>
          </cell>
          <cell r="D60">
            <v>0.97741990221455322</v>
          </cell>
          <cell r="E60">
            <v>0.65519516846207393</v>
          </cell>
          <cell r="F60">
            <v>0.12563102207210267</v>
          </cell>
          <cell r="G60">
            <v>0.62141959617801257</v>
          </cell>
          <cell r="H60">
            <v>6.4698183060365663E-2</v>
          </cell>
          <cell r="I60">
            <v>0.66440541964446953</v>
          </cell>
        </row>
        <row r="61">
          <cell r="A61">
            <v>60</v>
          </cell>
          <cell r="B61" t="str">
            <v>Power</v>
          </cell>
          <cell r="C61">
            <v>355</v>
          </cell>
          <cell r="D61">
            <v>0.93582592301649581</v>
          </cell>
          <cell r="E61">
            <v>0.90620027221091259</v>
          </cell>
          <cell r="F61">
            <v>0.16668585008300824</v>
          </cell>
          <cell r="G61">
            <v>0.53318872150519225</v>
          </cell>
          <cell r="H61">
            <v>5.9874039657769697E-2</v>
          </cell>
          <cell r="I61">
            <v>0.56714604637776167</v>
          </cell>
        </row>
        <row r="62">
          <cell r="A62">
            <v>61</v>
          </cell>
          <cell r="B62" t="str">
            <v>Precious Metals</v>
          </cell>
          <cell r="C62">
            <v>96</v>
          </cell>
          <cell r="D62">
            <v>1.6346590774689527</v>
          </cell>
          <cell r="E62">
            <v>0.45617914559579192</v>
          </cell>
          <cell r="F62">
            <v>0.12095539860779168</v>
          </cell>
          <cell r="G62">
            <v>1.1667787005909698</v>
          </cell>
          <cell r="H62">
            <v>7.2057948506993846E-2</v>
          </cell>
          <cell r="I62">
            <v>1.2573831509345752</v>
          </cell>
        </row>
        <row r="63">
          <cell r="A63">
            <v>62</v>
          </cell>
          <cell r="B63" t="str">
            <v>Publshing &amp; Newspapers</v>
          </cell>
          <cell r="C63">
            <v>153</v>
          </cell>
          <cell r="D63">
            <v>1.0367528690146419</v>
          </cell>
          <cell r="E63">
            <v>6.8843829654381059E-2</v>
          </cell>
          <cell r="F63">
            <v>0.13405182130204377</v>
          </cell>
          <cell r="G63">
            <v>0.97842394094707785</v>
          </cell>
          <cell r="H63">
            <v>8.4777595826081312E-2</v>
          </cell>
          <cell r="I63">
            <v>1.0690559327273079</v>
          </cell>
        </row>
        <row r="64">
          <cell r="A64">
            <v>63</v>
          </cell>
          <cell r="B64" t="str">
            <v>R.E.I.T.</v>
          </cell>
          <cell r="C64">
            <v>72</v>
          </cell>
          <cell r="D64">
            <v>0.75584069548872157</v>
          </cell>
          <cell r="E64">
            <v>0.44327474524967286</v>
          </cell>
          <cell r="F64">
            <v>3.2840480010256516E-2</v>
          </cell>
          <cell r="G64">
            <v>0.52903443386642346</v>
          </cell>
          <cell r="H64">
            <v>2.1568870026957947E-2</v>
          </cell>
          <cell r="I64">
            <v>0.5406966496262231</v>
          </cell>
        </row>
        <row r="65">
          <cell r="A65">
            <v>64</v>
          </cell>
          <cell r="B65" t="str">
            <v>Real Estate (Development)</v>
          </cell>
          <cell r="C65">
            <v>629</v>
          </cell>
          <cell r="D65">
            <v>1.2121942672337418</v>
          </cell>
          <cell r="E65">
            <v>0.9362707640350002</v>
          </cell>
          <cell r="F65">
            <v>0.19768601954696255</v>
          </cell>
          <cell r="G65">
            <v>0.69221445260875125</v>
          </cell>
          <cell r="H65">
            <v>0.14400332842541108</v>
          </cell>
          <cell r="I65">
            <v>0.80866488807186188</v>
          </cell>
        </row>
        <row r="66">
          <cell r="A66">
            <v>65</v>
          </cell>
          <cell r="B66" t="str">
            <v>Real Estate (General/Diversified)</v>
          </cell>
          <cell r="C66">
            <v>289</v>
          </cell>
          <cell r="D66">
            <v>1.2044978383458649</v>
          </cell>
          <cell r="E66">
            <v>0.58791165916055843</v>
          </cell>
          <cell r="F66">
            <v>0.15010181177037873</v>
          </cell>
          <cell r="G66">
            <v>0.80317790640355202</v>
          </cell>
          <cell r="H66">
            <v>9.9814206904129288E-2</v>
          </cell>
          <cell r="I66">
            <v>0.8922357057439283</v>
          </cell>
        </row>
        <row r="67">
          <cell r="A67">
            <v>66</v>
          </cell>
          <cell r="B67" t="str">
            <v>Real Estate (Operations &amp; Services)</v>
          </cell>
          <cell r="C67">
            <v>272</v>
          </cell>
          <cell r="D67">
            <v>0.94701648700063423</v>
          </cell>
          <cell r="E67">
            <v>0.84109620432035126</v>
          </cell>
          <cell r="F67">
            <v>0.11663853705496656</v>
          </cell>
          <cell r="G67">
            <v>0.54332808262156929</v>
          </cell>
          <cell r="H67">
            <v>7.0156983212411456E-2</v>
          </cell>
          <cell r="I67">
            <v>0.58432237787691643</v>
          </cell>
        </row>
        <row r="68">
          <cell r="A68">
            <v>67</v>
          </cell>
          <cell r="B68" t="str">
            <v>Recreation</v>
          </cell>
          <cell r="C68">
            <v>113</v>
          </cell>
          <cell r="D68">
            <v>1.2575160401002514</v>
          </cell>
          <cell r="E68">
            <v>0.151781564260487</v>
          </cell>
          <cell r="F68">
            <v>0.15259364990238794</v>
          </cell>
          <cell r="G68">
            <v>1.1142061129381799</v>
          </cell>
          <cell r="H68">
            <v>7.8916793864732313E-2</v>
          </cell>
          <cell r="I68">
            <v>1.2096693387921251</v>
          </cell>
        </row>
        <row r="69">
          <cell r="A69">
            <v>68</v>
          </cell>
          <cell r="B69" t="str">
            <v>Reinsurance</v>
          </cell>
          <cell r="C69">
            <v>30</v>
          </cell>
          <cell r="D69">
            <v>1.0704434697855751</v>
          </cell>
          <cell r="E69">
            <v>0.17004867839692331</v>
          </cell>
          <cell r="F69">
            <v>0.13230640107883057</v>
          </cell>
          <cell r="G69">
            <v>0.93280757273986081</v>
          </cell>
          <cell r="H69">
            <v>0.11835153147079024</v>
          </cell>
          <cell r="I69">
            <v>1.058026646715551</v>
          </cell>
        </row>
        <row r="70">
          <cell r="A70">
            <v>69</v>
          </cell>
          <cell r="B70" t="str">
            <v>Restaurant/Dining</v>
          </cell>
          <cell r="C70">
            <v>79</v>
          </cell>
          <cell r="D70">
            <v>1.2449619487908961</v>
          </cell>
          <cell r="E70">
            <v>0.24913893033957385</v>
          </cell>
          <cell r="F70">
            <v>0.15032439032501141</v>
          </cell>
          <cell r="G70">
            <v>1.0274614391148678</v>
          </cell>
          <cell r="H70">
            <v>7.4732258871610849E-2</v>
          </cell>
          <cell r="I70">
            <v>1.1104477044253704</v>
          </cell>
        </row>
        <row r="71">
          <cell r="A71">
            <v>70</v>
          </cell>
          <cell r="B71" t="str">
            <v>Retail (Automotive)</v>
          </cell>
          <cell r="C71">
            <v>75</v>
          </cell>
          <cell r="D71">
            <v>1.1030091533180779</v>
          </cell>
          <cell r="E71">
            <v>0.72881906934682283</v>
          </cell>
          <cell r="F71">
            <v>0.19093036261146593</v>
          </cell>
          <cell r="G71">
            <v>0.69386247388003852</v>
          </cell>
          <cell r="H71">
            <v>0.13789717773129412</v>
          </cell>
          <cell r="I71">
            <v>0.80484886020216606</v>
          </cell>
        </row>
        <row r="72">
          <cell r="A72">
            <v>71</v>
          </cell>
          <cell r="B72" t="str">
            <v>Retail (Building Supply)</v>
          </cell>
          <cell r="C72">
            <v>13</v>
          </cell>
          <cell r="D72">
            <v>1.4201710526315787</v>
          </cell>
          <cell r="E72">
            <v>0.26353688928375979</v>
          </cell>
          <cell r="F72">
            <v>0.17052767375771602</v>
          </cell>
          <cell r="G72">
            <v>1.1654152844386267</v>
          </cell>
          <cell r="H72">
            <v>6.7218425411480487E-2</v>
          </cell>
          <cell r="I72">
            <v>1.2493978399527559</v>
          </cell>
        </row>
        <row r="73">
          <cell r="A73">
            <v>72</v>
          </cell>
          <cell r="B73" t="str">
            <v>Retail (Distributors)</v>
          </cell>
          <cell r="C73">
            <v>467</v>
          </cell>
          <cell r="D73">
            <v>1.0234916768665849</v>
          </cell>
          <cell r="E73">
            <v>0.52615376329976482</v>
          </cell>
          <cell r="F73">
            <v>0.14911126087653323</v>
          </cell>
          <cell r="G73">
            <v>0.70697856605463316</v>
          </cell>
          <cell r="H73">
            <v>9.8091532246168261E-2</v>
          </cell>
          <cell r="I73">
            <v>0.78386952926091935</v>
          </cell>
        </row>
        <row r="74">
          <cell r="A74">
            <v>73</v>
          </cell>
          <cell r="B74" t="str">
            <v>Retail (General)</v>
          </cell>
          <cell r="C74">
            <v>137</v>
          </cell>
          <cell r="D74">
            <v>1.231668695993716</v>
          </cell>
          <cell r="E74">
            <v>0.38581100398707158</v>
          </cell>
          <cell r="F74">
            <v>0.24395378589228564</v>
          </cell>
          <cell r="G74">
            <v>0.95353203257967045</v>
          </cell>
          <cell r="H74">
            <v>7.4589012425222173E-2</v>
          </cell>
          <cell r="I74">
            <v>1.0303876281808468</v>
          </cell>
        </row>
        <row r="75">
          <cell r="A75">
            <v>74</v>
          </cell>
          <cell r="B75" t="str">
            <v>Retail (Grocery and Food)</v>
          </cell>
          <cell r="C75">
            <v>61</v>
          </cell>
          <cell r="D75">
            <v>0.87146315789473705</v>
          </cell>
          <cell r="E75">
            <v>0.37919460725490345</v>
          </cell>
          <cell r="F75">
            <v>0.19615535187206201</v>
          </cell>
          <cell r="G75">
            <v>0.667883280432918</v>
          </cell>
          <cell r="H75">
            <v>5.0595953077072181E-2</v>
          </cell>
          <cell r="I75">
            <v>0.70347633612640004</v>
          </cell>
        </row>
        <row r="76">
          <cell r="A76">
            <v>75</v>
          </cell>
          <cell r="B76" t="str">
            <v>Retail (Online)</v>
          </cell>
          <cell r="C76">
            <v>15</v>
          </cell>
          <cell r="D76">
            <v>1.6830607287449395</v>
          </cell>
          <cell r="E76">
            <v>0.20179831401187492</v>
          </cell>
          <cell r="F76">
            <v>0.12504746665374578</v>
          </cell>
          <cell r="G76">
            <v>1.4304881042523843</v>
          </cell>
          <cell r="H76">
            <v>6.4597824456754147E-2</v>
          </cell>
          <cell r="I76">
            <v>1.5292760073191098</v>
          </cell>
        </row>
        <row r="77">
          <cell r="A77">
            <v>76</v>
          </cell>
          <cell r="B77" t="str">
            <v>Retail (Special Lines)</v>
          </cell>
          <cell r="C77">
            <v>166</v>
          </cell>
          <cell r="D77">
            <v>1.2536267942583728</v>
          </cell>
          <cell r="E77">
            <v>0.26076566715107369</v>
          </cell>
          <cell r="F77">
            <v>0.18518431067118946</v>
          </cell>
          <cell r="G77">
            <v>1.0339395079906328</v>
          </cell>
          <cell r="H77">
            <v>9.9324322628667985E-2</v>
          </cell>
          <cell r="I77">
            <v>1.1479598416693544</v>
          </cell>
        </row>
        <row r="78">
          <cell r="A78">
            <v>77</v>
          </cell>
          <cell r="B78" t="str">
            <v>Rubber&amp; Tires</v>
          </cell>
          <cell r="C78">
            <v>68</v>
          </cell>
          <cell r="D78">
            <v>1.0289269949066215</v>
          </cell>
          <cell r="E78">
            <v>0.4045891932964184</v>
          </cell>
          <cell r="F78">
            <v>0.16086688971918539</v>
          </cell>
          <cell r="G78">
            <v>0.76814018500564385</v>
          </cell>
          <cell r="H78">
            <v>8.3217665368433225E-2</v>
          </cell>
          <cell r="I78">
            <v>0.83786538635077568</v>
          </cell>
        </row>
        <row r="79">
          <cell r="A79">
            <v>78</v>
          </cell>
          <cell r="B79" t="str">
            <v>Semiconductor</v>
          </cell>
          <cell r="C79">
            <v>393</v>
          </cell>
          <cell r="D79">
            <v>1.5290011441647606</v>
          </cell>
          <cell r="E79">
            <v>0.14532837818849786</v>
          </cell>
          <cell r="F79">
            <v>0.1162861432189225</v>
          </cell>
          <cell r="G79">
            <v>1.3549825008989089</v>
          </cell>
          <cell r="H79">
            <v>0.11688960874350458</v>
          </cell>
          <cell r="I79">
            <v>1.5343296991116033</v>
          </cell>
        </row>
        <row r="80">
          <cell r="A80">
            <v>79</v>
          </cell>
          <cell r="B80" t="str">
            <v>Semiconductor Equip</v>
          </cell>
          <cell r="C80">
            <v>153</v>
          </cell>
          <cell r="D80">
            <v>1.6066210526315796</v>
          </cell>
          <cell r="E80">
            <v>0.28478015459190603</v>
          </cell>
          <cell r="F80">
            <v>0.11799411115293748</v>
          </cell>
          <cell r="G80">
            <v>1.2840869513653732</v>
          </cell>
          <cell r="H80">
            <v>7.8389278103239091E-2</v>
          </cell>
          <cell r="I80">
            <v>1.393307305195628</v>
          </cell>
        </row>
        <row r="81">
          <cell r="A81">
            <v>80</v>
          </cell>
          <cell r="B81" t="str">
            <v>Shipbuilding &amp; Marine</v>
          </cell>
          <cell r="C81">
            <v>224</v>
          </cell>
          <cell r="D81">
            <v>1.166720977083858</v>
          </cell>
          <cell r="E81">
            <v>0.70745142091965552</v>
          </cell>
          <cell r="F81">
            <v>0.11381611870757917</v>
          </cell>
          <cell r="G81">
            <v>0.71712950761563876</v>
          </cell>
          <cell r="H81">
            <v>0.10962905030909265</v>
          </cell>
          <cell r="I81">
            <v>0.80542779148914345</v>
          </cell>
        </row>
        <row r="82">
          <cell r="A82">
            <v>81</v>
          </cell>
          <cell r="B82" t="str">
            <v>Shoe</v>
          </cell>
          <cell r="C82">
            <v>61</v>
          </cell>
          <cell r="D82">
            <v>0.91796877787689535</v>
          </cell>
          <cell r="E82">
            <v>0.14232042740556539</v>
          </cell>
          <cell r="F82">
            <v>0.18782949369489924</v>
          </cell>
          <cell r="G82">
            <v>0.82285611233081568</v>
          </cell>
          <cell r="H82">
            <v>8.2937833085367854E-2</v>
          </cell>
          <cell r="I82">
            <v>0.89727408022864608</v>
          </cell>
        </row>
        <row r="83">
          <cell r="A83">
            <v>82</v>
          </cell>
          <cell r="B83" t="str">
            <v>Software (Entertainment)</v>
          </cell>
          <cell r="C83">
            <v>50</v>
          </cell>
          <cell r="D83">
            <v>1.4226710526315791</v>
          </cell>
          <cell r="E83">
            <v>4.0094049726862271E-2</v>
          </cell>
          <cell r="F83">
            <v>0.10515880350621037</v>
          </cell>
          <cell r="G83">
            <v>1.3733965941034987</v>
          </cell>
          <cell r="H83">
            <v>0.11101078539260452</v>
          </cell>
          <cell r="I83">
            <v>1.5448968013746176</v>
          </cell>
        </row>
        <row r="84">
          <cell r="A84">
            <v>83</v>
          </cell>
          <cell r="B84" t="str">
            <v>Software (Internet)</v>
          </cell>
          <cell r="C84">
            <v>140</v>
          </cell>
          <cell r="D84">
            <v>1.5668183157894742</v>
          </cell>
          <cell r="E84">
            <v>4.423159637664352E-2</v>
          </cell>
          <cell r="F84">
            <v>0.11986805645046335</v>
          </cell>
          <cell r="G84">
            <v>1.5081082049544619</v>
          </cell>
          <cell r="H84">
            <v>4.4144444335992072E-2</v>
          </cell>
          <cell r="I84">
            <v>1.5777574299987391</v>
          </cell>
        </row>
        <row r="85">
          <cell r="A85">
            <v>84</v>
          </cell>
          <cell r="B85" t="str">
            <v>Software (System &amp; Application)</v>
          </cell>
          <cell r="C85">
            <v>286</v>
          </cell>
          <cell r="D85">
            <v>1.3715223531802485</v>
          </cell>
          <cell r="E85">
            <v>2.3371486129172156E-2</v>
          </cell>
          <cell r="F85">
            <v>0.11419459206242141</v>
          </cell>
          <cell r="G85">
            <v>1.3437041977000364</v>
          </cell>
          <cell r="H85">
            <v>3.809668547206229E-2</v>
          </cell>
          <cell r="I85">
            <v>1.3969223074768908</v>
          </cell>
        </row>
        <row r="86">
          <cell r="A86">
            <v>85</v>
          </cell>
          <cell r="B86" t="str">
            <v>Steel</v>
          </cell>
          <cell r="C86">
            <v>514</v>
          </cell>
          <cell r="D86">
            <v>1.2688113402061854</v>
          </cell>
          <cell r="E86">
            <v>1.061729546422538</v>
          </cell>
          <cell r="F86">
            <v>0.11251415912372718</v>
          </cell>
          <cell r="G86">
            <v>0.65326210046272359</v>
          </cell>
          <cell r="H86">
            <v>9.1101227766809414E-2</v>
          </cell>
          <cell r="I86">
            <v>0.71874021664441212</v>
          </cell>
        </row>
        <row r="87">
          <cell r="A87">
            <v>86</v>
          </cell>
          <cell r="B87" t="str">
            <v>Telecom (Wireless)</v>
          </cell>
          <cell r="C87">
            <v>62</v>
          </cell>
          <cell r="D87">
            <v>1.0480349439171701</v>
          </cell>
          <cell r="E87">
            <v>0.35422447185319067</v>
          </cell>
          <cell r="F87">
            <v>0.16717812350817918</v>
          </cell>
          <cell r="G87">
            <v>0.80928971253153703</v>
          </cell>
          <cell r="H87">
            <v>6.2658588478144567E-2</v>
          </cell>
          <cell r="I87">
            <v>0.8633884117181857</v>
          </cell>
        </row>
        <row r="88">
          <cell r="A88">
            <v>87</v>
          </cell>
          <cell r="B88" t="str">
            <v>Telecom. Equipment</v>
          </cell>
          <cell r="C88">
            <v>260</v>
          </cell>
          <cell r="D88">
            <v>1.3345474333983105</v>
          </cell>
          <cell r="E88">
            <v>0.10188550215035294</v>
          </cell>
          <cell r="F88">
            <v>0.10867539331696265</v>
          </cell>
          <cell r="G88">
            <v>1.2234428503775123</v>
          </cell>
          <cell r="H88">
            <v>7.4466598446780885E-2</v>
          </cell>
          <cell r="I88">
            <v>1.3218786575658374</v>
          </cell>
        </row>
        <row r="89">
          <cell r="A89">
            <v>88</v>
          </cell>
          <cell r="B89" t="str">
            <v>Telecom. Services</v>
          </cell>
          <cell r="C89">
            <v>114</v>
          </cell>
          <cell r="D89">
            <v>0.87522431077694229</v>
          </cell>
          <cell r="E89">
            <v>0.36525312131015658</v>
          </cell>
          <cell r="F89">
            <v>0.14725037125057258</v>
          </cell>
          <cell r="G89">
            <v>0.66736156278970649</v>
          </cell>
          <cell r="H89">
            <v>6.4237596508585404E-2</v>
          </cell>
          <cell r="I89">
            <v>0.71317415649498184</v>
          </cell>
        </row>
        <row r="90">
          <cell r="A90">
            <v>89</v>
          </cell>
          <cell r="B90" t="str">
            <v>Tobacco</v>
          </cell>
          <cell r="C90">
            <v>34</v>
          </cell>
          <cell r="D90">
            <v>0.44857894736842108</v>
          </cell>
          <cell r="E90">
            <v>2.9242943741087882E-2</v>
          </cell>
          <cell r="F90">
            <v>0.17970539080867631</v>
          </cell>
          <cell r="G90">
            <v>0.43807058503743312</v>
          </cell>
          <cell r="H90">
            <v>1.6311790729505986E-2</v>
          </cell>
          <cell r="I90">
            <v>0.44533479298517514</v>
          </cell>
        </row>
        <row r="91">
          <cell r="A91">
            <v>90</v>
          </cell>
          <cell r="B91" t="str">
            <v>Transportation</v>
          </cell>
          <cell r="C91">
            <v>140</v>
          </cell>
          <cell r="D91">
            <v>1.1667172064777327</v>
          </cell>
          <cell r="E91">
            <v>0.62875552583921879</v>
          </cell>
          <cell r="F91">
            <v>0.18380340164237097</v>
          </cell>
          <cell r="G91">
            <v>0.77103249092857606</v>
          </cell>
          <cell r="H91">
            <v>9.1951181867580459E-2</v>
          </cell>
          <cell r="I91">
            <v>0.84910907379886857</v>
          </cell>
        </row>
        <row r="92">
          <cell r="A92">
            <v>91</v>
          </cell>
          <cell r="B92" t="str">
            <v>Transportation (Railroads)</v>
          </cell>
          <cell r="C92">
            <v>12</v>
          </cell>
          <cell r="D92">
            <v>1.4512751196172251</v>
          </cell>
          <cell r="E92">
            <v>0.15441007520850064</v>
          </cell>
          <cell r="F92">
            <v>0.24461411478904324</v>
          </cell>
          <cell r="G92">
            <v>1.2996813392038762</v>
          </cell>
          <cell r="H92">
            <v>4.8105583715751146E-2</v>
          </cell>
          <cell r="I92">
            <v>1.3653629194267416</v>
          </cell>
        </row>
        <row r="93">
          <cell r="A93">
            <v>92</v>
          </cell>
          <cell r="B93" t="str">
            <v>Trucking</v>
          </cell>
          <cell r="C93">
            <v>93</v>
          </cell>
          <cell r="D93">
            <v>1.000826379974326</v>
          </cell>
          <cell r="E93">
            <v>0.37953492865300814</v>
          </cell>
          <cell r="F93">
            <v>0.17228362564659322</v>
          </cell>
          <cell r="G93">
            <v>0.76157855283722287</v>
          </cell>
          <cell r="H93">
            <v>7.8152634799196402E-2</v>
          </cell>
          <cell r="I93">
            <v>0.82614387325534122</v>
          </cell>
        </row>
        <row r="94">
          <cell r="A94">
            <v>93</v>
          </cell>
          <cell r="B94" t="str">
            <v>Unclassified</v>
          </cell>
          <cell r="C94">
            <v>25</v>
          </cell>
          <cell r="D94">
            <v>0.92335380116959065</v>
          </cell>
          <cell r="E94">
            <v>9.0037119535481713E-2</v>
          </cell>
          <cell r="F94">
            <v>2.023529411764706E-2</v>
          </cell>
          <cell r="G94">
            <v>0.84850295052704239</v>
          </cell>
          <cell r="H94">
            <v>3.6584314889850832E-2</v>
          </cell>
          <cell r="I94">
            <v>0.88072362080136923</v>
          </cell>
        </row>
        <row r="95">
          <cell r="A95">
            <v>94</v>
          </cell>
          <cell r="B95" t="str">
            <v>Utility (General)</v>
          </cell>
          <cell r="C95">
            <v>12</v>
          </cell>
          <cell r="D95">
            <v>0.83272807017543871</v>
          </cell>
          <cell r="E95">
            <v>2.2612947906752274</v>
          </cell>
          <cell r="F95">
            <v>0.12473273581163853</v>
          </cell>
          <cell r="G95">
            <v>0.27951048705979537</v>
          </cell>
          <cell r="H95">
            <v>8.6625840290583678E-2</v>
          </cell>
          <cell r="I95">
            <v>0.30601970078584195</v>
          </cell>
        </row>
        <row r="96">
          <cell r="A96">
            <v>95</v>
          </cell>
          <cell r="B96" t="str">
            <v>Utility (Water)</v>
          </cell>
          <cell r="C96">
            <v>59</v>
          </cell>
          <cell r="D96">
            <v>1.1758075048732937</v>
          </cell>
          <cell r="E96">
            <v>0.35131171892280677</v>
          </cell>
          <cell r="F96">
            <v>0.18103758773622622</v>
          </cell>
          <cell r="G96">
            <v>0.91309883984132412</v>
          </cell>
          <cell r="H96">
            <v>7.3344262430203436E-2</v>
          </cell>
          <cell r="I96">
            <v>0.98537008170474816</v>
          </cell>
        </row>
      </sheetData>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fo empresa"/>
      <sheetName val="BALANCE CONS"/>
      <sheetName val="P y G"/>
      <sheetName val="DEP - AMORT"/>
      <sheetName val="Hoja4"/>
      <sheetName val="Flujo de fondos"/>
      <sheetName val="Fuentes y usos"/>
      <sheetName val="Analisis capital de trabajo"/>
      <sheetName val="Indicador de Altman "/>
      <sheetName val="Indicadores Financieros"/>
      <sheetName val="Costos de deuda y proveedores"/>
      <sheetName val="Calculo costo patrimonio "/>
      <sheetName val="WACC "/>
      <sheetName val="FER"/>
      <sheetName val="Proyeccion ventas"/>
      <sheetName val="Proyeccion Flujo caja"/>
      <sheetName val="Dupont y Ropa"/>
      <sheetName val="Sanidad financiera"/>
      <sheetName val="Modelo Conan"/>
      <sheetName val="BETA EMERGENTES"/>
      <sheetName val="ERPs y Tasa des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tos"/>
      <sheetName val="Modelo de Regresión"/>
      <sheetName val="Ventas y EBITDA"/>
      <sheetName val="Estados Financieros"/>
      <sheetName val="WACC"/>
      <sheetName val="DCF"/>
      <sheetName val="COLCAP"/>
      <sheetName val="EMBI+"/>
      <sheetName val="Anexos"/>
    </sheetNames>
    <sheetDataSet>
      <sheetData sheetId="0"/>
      <sheetData sheetId="1"/>
      <sheetData sheetId="2"/>
      <sheetData sheetId="3">
        <row r="135">
          <cell r="B135">
            <v>13753.022000000001</v>
          </cell>
        </row>
        <row r="169">
          <cell r="B169">
            <v>755.76799999999639</v>
          </cell>
        </row>
      </sheetData>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Descripción de la compañía"/>
      <sheetName val="Informe del Sector "/>
      <sheetName val="Empresa respecto al Sector "/>
      <sheetName val="Estados Financieros AC Nielsen "/>
      <sheetName val="Comparación de indicadores"/>
      <sheetName val="VIABILIDAD"/>
      <sheetName val="Anexo 1 - Balance"/>
      <sheetName val="Anexo 2 - ER"/>
      <sheetName val="Anexo 3 - FC"/>
      <sheetName val="Anexo 4 - FCL"/>
      <sheetName val="Anexo - Balance Sector "/>
      <sheetName val="Anexo - ER Sector "/>
      <sheetName val="Anexo - FC Sector"/>
      <sheetName val="Hoja1"/>
      <sheetName val="Gráficas 2013"/>
      <sheetName val="Gráficas 2014"/>
      <sheetName val="CV EMPRESA"/>
      <sheetName val="Distribución DIVD"/>
      <sheetName val="ALTMAN"/>
      <sheetName val="Sanidad Financiera"/>
      <sheetName val="CONAN"/>
      <sheetName val="FER"/>
      <sheetName val="FUENTES &amp; USOS"/>
      <sheetName val="FLUJO DE FONDOS"/>
      <sheetName val="Proyección Ventas"/>
      <sheetName val="Proyección Flujos de Caja"/>
      <sheetName val="Cost deu. y Prove."/>
      <sheetName val="Costo patrimon."/>
      <sheetName val="WACC"/>
      <sheetName val="Betas"/>
      <sheetName val="GAF"/>
      <sheetName val="Costos Ocultos"/>
      <sheetName val="Resumen Ke"/>
      <sheetName val="TASA DESCUENTO"/>
      <sheetName val="IGBC COLOMBIA"/>
      <sheetName val="EMBI SPREAD"/>
      <sheetName val="Desviación IGBC- EMBI Colombia"/>
      <sheetName val="CIFRAS COMPAÑIA TEORICA Nielsen"/>
      <sheetName val="ESTIMACIONES USA"/>
      <sheetName val="ESTIMACIONES COLOMBIA"/>
      <sheetName val="S&amp;P500"/>
      <sheetName val="Rf USA"/>
      <sheetName val="BETA"/>
    </sheetNames>
    <sheetDataSet>
      <sheetData sheetId="0"/>
      <sheetData sheetId="1"/>
      <sheetData sheetId="2"/>
      <sheetData sheetId="3"/>
      <sheetData sheetId="4"/>
      <sheetData sheetId="5"/>
      <sheetData sheetId="6"/>
      <sheetData sheetId="7">
        <row r="8">
          <cell r="B8">
            <v>6830.6859999999997</v>
          </cell>
        </row>
        <row r="79">
          <cell r="B79">
            <v>5716.8379999999997</v>
          </cell>
          <cell r="C79">
            <v>5989.8280000000004</v>
          </cell>
          <cell r="D79">
            <v>4972.7250000000004</v>
          </cell>
          <cell r="E79">
            <v>4839.6000000000004</v>
          </cell>
          <cell r="F79">
            <v>4343.4449999999997</v>
          </cell>
          <cell r="G79">
            <v>3838.8989999999999</v>
          </cell>
          <cell r="H79">
            <v>3584.5630000000001</v>
          </cell>
          <cell r="I79">
            <v>4307</v>
          </cell>
          <cell r="J79">
            <v>3245.2919999999999</v>
          </cell>
        </row>
        <row r="104">
          <cell r="B104">
            <v>31.98</v>
          </cell>
        </row>
        <row r="105">
          <cell r="B105">
            <v>10423.084999999999</v>
          </cell>
        </row>
        <row r="205">
          <cell r="B205">
            <v>0</v>
          </cell>
        </row>
        <row r="208">
          <cell r="B208">
            <v>7699.7690000000002</v>
          </cell>
        </row>
        <row r="220">
          <cell r="B220">
            <v>0</v>
          </cell>
        </row>
        <row r="222">
          <cell r="B222">
            <v>10858.612999999999</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ral"/>
      <sheetName val="NIELSEN"/>
      <sheetName val="PGN"/>
      <sheetName val="FCN"/>
      <sheetName val="Ipsos"/>
      <sheetName val="ER"/>
      <sheetName val="FC"/>
      <sheetName val="Yanhas"/>
      <sheetName val="PYG"/>
      <sheetName val="CF"/>
      <sheetName val="CENAL"/>
      <sheetName val="PG"/>
      <sheetName val="FCD"/>
    </sheetNames>
    <sheetDataSet>
      <sheetData sheetId="0"/>
      <sheetData sheetId="1"/>
      <sheetData sheetId="2"/>
      <sheetData sheetId="3"/>
      <sheetData sheetId="4">
        <row r="112">
          <cell r="B112">
            <v>33781937</v>
          </cell>
        </row>
        <row r="238">
          <cell r="B238">
            <v>1831391</v>
          </cell>
        </row>
      </sheetData>
      <sheetData sheetId="5">
        <row r="8">
          <cell r="B8">
            <v>37243229</v>
          </cell>
        </row>
        <row r="13">
          <cell r="B13">
            <v>1274507</v>
          </cell>
        </row>
        <row r="19">
          <cell r="B19">
            <v>391937</v>
          </cell>
        </row>
      </sheetData>
      <sheetData sheetId="6">
        <row r="11">
          <cell r="B11">
            <v>368590</v>
          </cell>
        </row>
        <row r="12">
          <cell r="B12">
            <v>752260</v>
          </cell>
        </row>
        <row r="13">
          <cell r="B13">
            <v>5755</v>
          </cell>
        </row>
      </sheetData>
      <sheetData sheetId="7">
        <row r="112">
          <cell r="B112">
            <v>6848634</v>
          </cell>
        </row>
        <row r="238">
          <cell r="B238">
            <v>3070232</v>
          </cell>
        </row>
      </sheetData>
      <sheetData sheetId="8">
        <row r="8">
          <cell r="B8">
            <v>9600158</v>
          </cell>
        </row>
        <row r="13">
          <cell r="B13">
            <v>440715</v>
          </cell>
        </row>
        <row r="19">
          <cell r="B19">
            <v>8923</v>
          </cell>
        </row>
      </sheetData>
      <sheetData sheetId="9">
        <row r="11">
          <cell r="B11">
            <v>118230</v>
          </cell>
        </row>
        <row r="12">
          <cell r="B12">
            <v>2121966</v>
          </cell>
        </row>
        <row r="13">
          <cell r="B13">
            <v>89708</v>
          </cell>
        </row>
      </sheetData>
      <sheetData sheetId="10">
        <row r="112">
          <cell r="B112">
            <v>9776885</v>
          </cell>
        </row>
        <row r="238">
          <cell r="B238">
            <v>4551859</v>
          </cell>
        </row>
      </sheetData>
      <sheetData sheetId="11">
        <row r="8">
          <cell r="B8">
            <v>20713387</v>
          </cell>
        </row>
        <row r="13">
          <cell r="B13">
            <v>1696211</v>
          </cell>
        </row>
        <row r="19">
          <cell r="B19">
            <v>926488</v>
          </cell>
        </row>
      </sheetData>
      <sheetData sheetId="12">
        <row r="11">
          <cell r="B11">
            <v>129902</v>
          </cell>
        </row>
        <row r="12">
          <cell r="B12">
            <v>16393</v>
          </cell>
        </row>
        <row r="13">
          <cell r="B13">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Descripción de la compañía"/>
      <sheetName val="CV EMPRESA"/>
      <sheetName val="Informe del Sector "/>
      <sheetName val="Empresa respecto al Sector "/>
      <sheetName val="Estados Financieros AC Nielsen "/>
      <sheetName val="KWNO"/>
      <sheetName val="Comparación de indicadores"/>
      <sheetName val="VIABILIDAD"/>
      <sheetName val="Anexo 1 - Balance"/>
      <sheetName val="Anexo 2 - ER"/>
      <sheetName val="Anexo 3 - FC"/>
      <sheetName val="Anexo 4 - FCL"/>
      <sheetName val="Anexo - Balance Sector "/>
      <sheetName val="Anexo - ER Sector "/>
      <sheetName val="Anexo - FC Sector"/>
      <sheetName val="Viabilidad Accionista"/>
      <sheetName val="Gráficas 2013"/>
      <sheetName val="Gráficas 2014"/>
      <sheetName val="Distribución DIVD"/>
      <sheetName val="ALTMAN"/>
      <sheetName val="Sanidad Financiera"/>
      <sheetName val="CONAN"/>
      <sheetName val="FER"/>
      <sheetName val="FUENTES &amp; USOS"/>
      <sheetName val="FLUJO DE FONDOS"/>
      <sheetName val="Proyección Ventas"/>
      <sheetName val="Proyección Flujos de Caja"/>
      <sheetName val="Cost deu. y Prove."/>
      <sheetName val="Costo patrimon."/>
      <sheetName val="WACC"/>
      <sheetName val="Betas"/>
      <sheetName val="GAF"/>
      <sheetName val="Costos Ocultos"/>
      <sheetName val="Base de Datos"/>
      <sheetName val="Supuestos"/>
      <sheetName val="Modelo de Regresión"/>
      <sheetName val="Ventas y EBITDA"/>
      <sheetName val="Estados Financieros (P)"/>
      <sheetName val="DFC"/>
      <sheetName val="Modelo Múltiplos"/>
      <sheetName val="Sensibilización WACC"/>
      <sheetName val="WACC Proyectado"/>
      <sheetName val="EMBI+"/>
      <sheetName val="Resumen Ke"/>
      <sheetName val="TASA DESCUENTO"/>
      <sheetName val="IGBC COLOMBIA"/>
      <sheetName val="EMBI SPREAD"/>
      <sheetName val="Desviación IGBC- EMBI Colombia"/>
      <sheetName val="CIFRAS COMPAÑIA TEORICA Nielsen"/>
      <sheetName val="ESTIMACIONES USA"/>
      <sheetName val="ESTIMACIONES COLOMBIA"/>
      <sheetName val="S&amp;P500"/>
      <sheetName val="Rf USA"/>
      <sheetName val="BE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ow r="2849">
          <cell r="I2849">
            <v>0.25118702498894385</v>
          </cell>
        </row>
      </sheetData>
      <sheetData sheetId="47">
        <row r="3404">
          <cell r="D3404">
            <v>2.7387525070196653E-2</v>
          </cell>
        </row>
        <row r="3418">
          <cell r="E3418">
            <v>0.21725681686637702</v>
          </cell>
        </row>
      </sheetData>
      <sheetData sheetId="48" refreshError="1"/>
      <sheetData sheetId="49">
        <row r="12">
          <cell r="B12">
            <v>4.0842890177749037E-2</v>
          </cell>
        </row>
      </sheetData>
      <sheetData sheetId="50" refreshError="1"/>
      <sheetData sheetId="51" refreshError="1"/>
      <sheetData sheetId="52" refreshError="1"/>
      <sheetData sheetId="53" refreshError="1"/>
      <sheetData sheetId="54">
        <row r="49">
          <cell r="A49" t="str">
            <v>Insurance (Life)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5.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hyperlink" Target="http://www.byington.net/estandares/index.php?accion=guia%20A107" TargetMode="Externa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9.x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drawing" Target="../drawings/drawing20.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1.xml"/><Relationship Id="rId1" Type="http://schemas.openxmlformats.org/officeDocument/2006/relationships/printerSettings" Target="../printerSettings/printerSettings16.bin"/><Relationship Id="rId4" Type="http://schemas.openxmlformats.org/officeDocument/2006/relationships/comments" Target="../comments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3.xml"/><Relationship Id="rId1" Type="http://schemas.openxmlformats.org/officeDocument/2006/relationships/printerSettings" Target="../printerSettings/printerSettings17.bin"/><Relationship Id="rId4" Type="http://schemas.openxmlformats.org/officeDocument/2006/relationships/comments" Target="../comments7.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18.bin"/><Relationship Id="rId5" Type="http://schemas.openxmlformats.org/officeDocument/2006/relationships/comments" Target="../comments8.xml"/><Relationship Id="rId4" Type="http://schemas.openxmlformats.org/officeDocument/2006/relationships/ctrlProp" Target="../ctrlProps/ctrlProp1.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6.xml"/><Relationship Id="rId1" Type="http://schemas.openxmlformats.org/officeDocument/2006/relationships/printerSettings" Target="../printerSettings/printerSettings19.bin"/><Relationship Id="rId6" Type="http://schemas.openxmlformats.org/officeDocument/2006/relationships/comments" Target="../comments9.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2.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hyperlink" Target="http://www.ambito.com/" TargetMode="External"/><Relationship Id="rId7" Type="http://schemas.openxmlformats.org/officeDocument/2006/relationships/ctrlProp" Target="../ctrlProps/ctrlProp4.xml"/><Relationship Id="rId2" Type="http://schemas.openxmlformats.org/officeDocument/2006/relationships/hyperlink" Target="http://www.damadoran.com/" TargetMode="External"/><Relationship Id="rId1" Type="http://schemas.openxmlformats.org/officeDocument/2006/relationships/hyperlink" Target="http://www.bloomberg.com/" TargetMode="External"/><Relationship Id="rId6" Type="http://schemas.openxmlformats.org/officeDocument/2006/relationships/vmlDrawing" Target="../drawings/vmlDrawing13.vml"/><Relationship Id="rId5" Type="http://schemas.openxmlformats.org/officeDocument/2006/relationships/drawing" Target="../drawings/drawing27.xml"/><Relationship Id="rId4"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8.xml"/><Relationship Id="rId1" Type="http://schemas.openxmlformats.org/officeDocument/2006/relationships/printerSettings" Target="../printerSettings/printerSettings21.bin"/><Relationship Id="rId5" Type="http://schemas.openxmlformats.org/officeDocument/2006/relationships/comments" Target="../comments11.xml"/><Relationship Id="rId4" Type="http://schemas.openxmlformats.org/officeDocument/2006/relationships/ctrlProp" Target="../ctrlProps/ctrlProp5.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2.bin"/></Relationships>
</file>

<file path=xl/worksheets/_rels/sheet36.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5.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6.bin"/><Relationship Id="rId1" Type="http://schemas.openxmlformats.org/officeDocument/2006/relationships/hyperlink" Target="http://www.byington.net/estandares/index.php?accion=guia%20A107"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6"/>
  <sheetViews>
    <sheetView zoomScale="70" zoomScaleNormal="70" workbookViewId="0">
      <selection activeCell="A9" sqref="A9"/>
    </sheetView>
  </sheetViews>
  <sheetFormatPr baseColWidth="10" defaultColWidth="11.42578125" defaultRowHeight="15"/>
  <cols>
    <col min="1" max="16384" width="11.42578125" style="21"/>
  </cols>
  <sheetData>
    <row r="3" spans="1:13" ht="25.5">
      <c r="A3" s="1503"/>
      <c r="B3" s="1503"/>
      <c r="C3" s="1503"/>
      <c r="D3" s="1503"/>
      <c r="E3" s="1503"/>
      <c r="F3" s="1503"/>
      <c r="G3" s="1503"/>
      <c r="H3" s="1503"/>
      <c r="I3" s="1503"/>
      <c r="J3" s="1503"/>
      <c r="K3" s="1503"/>
      <c r="L3" s="1503"/>
      <c r="M3" s="1503"/>
    </row>
    <row r="4" spans="1:13" ht="25.5">
      <c r="A4" s="280"/>
      <c r="B4" s="280"/>
      <c r="C4" s="280"/>
      <c r="D4" s="280"/>
      <c r="E4" s="280"/>
      <c r="F4" s="280"/>
      <c r="G4" s="280"/>
      <c r="H4" s="280"/>
      <c r="I4" s="280"/>
      <c r="J4" s="280"/>
      <c r="K4" s="280"/>
      <c r="L4" s="280"/>
      <c r="M4" s="280"/>
    </row>
    <row r="5" spans="1:13" ht="25.5">
      <c r="A5" s="280"/>
      <c r="B5" s="280"/>
      <c r="C5" s="280"/>
      <c r="D5" s="280"/>
      <c r="E5" s="280"/>
      <c r="F5" s="280"/>
      <c r="G5" s="280"/>
      <c r="H5" s="280"/>
      <c r="I5" s="280"/>
      <c r="J5" s="280"/>
      <c r="K5" s="280"/>
      <c r="L5" s="280"/>
      <c r="M5" s="280"/>
    </row>
    <row r="6" spans="1:13" ht="52.5" customHeight="1">
      <c r="A6" s="1504" t="s">
        <v>492</v>
      </c>
      <c r="B6" s="1503"/>
      <c r="C6" s="1503"/>
      <c r="D6" s="1503"/>
      <c r="E6" s="1503"/>
      <c r="F6" s="1503"/>
      <c r="G6" s="1503"/>
      <c r="H6" s="1503"/>
      <c r="I6" s="1503"/>
      <c r="J6" s="1503"/>
      <c r="K6" s="1503"/>
      <c r="L6" s="1503"/>
      <c r="M6" s="1503"/>
    </row>
  </sheetData>
  <mergeCells count="2">
    <mergeCell ref="A3:M3"/>
    <mergeCell ref="A6:M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B88"/>
  <sheetViews>
    <sheetView topLeftCell="A73" zoomScale="85" zoomScaleNormal="85" workbookViewId="0">
      <selection activeCell="F82" sqref="F82"/>
    </sheetView>
  </sheetViews>
  <sheetFormatPr baseColWidth="10" defaultColWidth="11.42578125" defaultRowHeight="15"/>
  <cols>
    <col min="1" max="1" width="11.42578125" style="64" customWidth="1"/>
    <col min="2" max="2" width="0.28515625" style="64" customWidth="1"/>
    <col min="3" max="3" width="31.42578125" style="64" customWidth="1"/>
    <col min="4" max="4" width="7.5703125" style="64" customWidth="1"/>
    <col min="5" max="5" width="21.5703125" style="64" customWidth="1"/>
    <col min="6" max="6" width="12.42578125" style="64" customWidth="1"/>
    <col min="7" max="7" width="1.7109375" style="64" customWidth="1"/>
    <col min="8" max="8" width="14.42578125" style="64" customWidth="1"/>
    <col min="9" max="9" width="18.5703125" style="64" bestFit="1" customWidth="1"/>
    <col min="10" max="10" width="13.5703125" style="64" customWidth="1"/>
    <col min="11" max="11" width="13.42578125" style="64" bestFit="1" customWidth="1"/>
    <col min="12" max="12" width="14.5703125" style="64" bestFit="1" customWidth="1"/>
    <col min="13" max="13" width="6.140625" style="64" customWidth="1"/>
    <col min="14" max="14" width="11.42578125" style="64"/>
    <col min="15" max="15" width="21.5703125" style="64" customWidth="1"/>
    <col min="16" max="16" width="12.42578125" style="64" customWidth="1"/>
    <col min="17" max="17" width="1.7109375" style="64" customWidth="1"/>
    <col min="18" max="18" width="14.42578125" style="64" customWidth="1"/>
    <col min="19" max="19" width="18.5703125" style="64" bestFit="1" customWidth="1"/>
    <col min="20" max="20" width="13.5703125" style="64" customWidth="1"/>
    <col min="21" max="21" width="13.42578125" style="64" bestFit="1" customWidth="1"/>
    <col min="22" max="22" width="14.5703125" style="64" bestFit="1" customWidth="1"/>
    <col min="23" max="16384" width="11.42578125" style="64"/>
  </cols>
  <sheetData>
    <row r="1" spans="2:28" ht="15.75" thickBot="1">
      <c r="B1" s="1652" t="s">
        <v>511</v>
      </c>
      <c r="C1" s="1652"/>
      <c r="D1" s="1652"/>
      <c r="E1" s="1652"/>
      <c r="F1" s="1652"/>
      <c r="G1" s="1652"/>
      <c r="H1" s="1652"/>
      <c r="I1" s="1652"/>
      <c r="J1" s="1652"/>
      <c r="K1" s="1652"/>
      <c r="L1" s="1652"/>
      <c r="M1" s="1652"/>
    </row>
    <row r="2" spans="2:28">
      <c r="B2" s="378"/>
      <c r="C2" s="379"/>
      <c r="D2" s="379"/>
      <c r="E2" s="379"/>
      <c r="F2" s="379"/>
      <c r="G2" s="379"/>
      <c r="H2" s="379"/>
      <c r="I2" s="379"/>
      <c r="J2" s="379"/>
      <c r="K2" s="379"/>
      <c r="L2" s="379"/>
      <c r="M2" s="380"/>
    </row>
    <row r="3" spans="2:28">
      <c r="B3" s="381"/>
      <c r="C3" s="382" t="s">
        <v>512</v>
      </c>
      <c r="D3" s="383"/>
      <c r="E3" s="383"/>
      <c r="F3" s="383"/>
      <c r="G3" s="383"/>
      <c r="H3" s="383"/>
      <c r="I3" s="383"/>
      <c r="J3" s="383"/>
      <c r="K3" s="383"/>
      <c r="L3" s="383"/>
      <c r="M3" s="384"/>
    </row>
    <row r="4" spans="2:28">
      <c r="B4" s="381"/>
      <c r="C4" s="385" t="s">
        <v>513</v>
      </c>
      <c r="D4" s="383"/>
      <c r="E4" s="383"/>
      <c r="F4" s="383"/>
      <c r="G4" s="383"/>
      <c r="H4" s="383"/>
      <c r="I4" s="383"/>
      <c r="J4" s="383"/>
      <c r="K4" s="383"/>
      <c r="L4" s="383"/>
      <c r="M4" s="384"/>
    </row>
    <row r="5" spans="2:28" s="388" customFormat="1" ht="14.25">
      <c r="B5" s="386"/>
      <c r="C5" s="385"/>
      <c r="D5" s="385"/>
      <c r="E5" s="385"/>
      <c r="F5" s="385"/>
      <c r="G5" s="385"/>
      <c r="H5" s="385"/>
      <c r="I5" s="1653" t="s">
        <v>514</v>
      </c>
      <c r="J5" s="1654"/>
      <c r="K5" s="1653" t="s">
        <v>515</v>
      </c>
      <c r="L5" s="1654"/>
      <c r="M5" s="387"/>
    </row>
    <row r="6" spans="2:28" s="388" customFormat="1">
      <c r="B6" s="386"/>
      <c r="C6" s="389" t="s">
        <v>516</v>
      </c>
      <c r="D6" s="390" t="s">
        <v>517</v>
      </c>
      <c r="E6" s="390" t="s">
        <v>518</v>
      </c>
      <c r="F6" s="390" t="s">
        <v>519</v>
      </c>
      <c r="G6" s="385"/>
      <c r="H6" s="385"/>
      <c r="I6" s="391" t="s">
        <v>520</v>
      </c>
      <c r="J6" s="391" t="s">
        <v>521</v>
      </c>
      <c r="K6" s="391" t="s">
        <v>520</v>
      </c>
      <c r="L6" s="391" t="s">
        <v>521</v>
      </c>
      <c r="M6" s="387"/>
      <c r="O6" s="749"/>
      <c r="P6" s="749"/>
      <c r="Q6" s="749"/>
      <c r="R6" s="750"/>
      <c r="S6" s="741"/>
      <c r="T6" s="741"/>
      <c r="U6" s="741"/>
      <c r="V6" s="545"/>
      <c r="W6" s="750"/>
      <c r="X6" s="741"/>
      <c r="Y6" s="741"/>
      <c r="Z6" s="741"/>
      <c r="AA6" s="741"/>
      <c r="AB6" s="754"/>
    </row>
    <row r="7" spans="2:28" s="388" customFormat="1">
      <c r="B7" s="386"/>
      <c r="C7" s="389"/>
      <c r="D7" s="389"/>
      <c r="E7" s="389"/>
      <c r="F7" s="389"/>
      <c r="G7" s="385"/>
      <c r="H7" s="385"/>
      <c r="I7" s="385"/>
      <c r="J7" s="385"/>
      <c r="K7" s="385"/>
      <c r="L7" s="385"/>
      <c r="M7" s="387"/>
      <c r="O7" s="749"/>
      <c r="P7" s="749"/>
      <c r="Q7" s="749"/>
      <c r="R7" s="750"/>
      <c r="S7" s="741"/>
      <c r="T7" s="741"/>
      <c r="U7" s="741"/>
      <c r="V7" s="545"/>
      <c r="W7" s="750"/>
      <c r="X7" s="741"/>
      <c r="Y7" s="741"/>
      <c r="Z7" s="741"/>
      <c r="AA7" s="741"/>
      <c r="AB7" s="754"/>
    </row>
    <row r="8" spans="2:28" s="388" customFormat="1">
      <c r="B8" s="386"/>
      <c r="C8" s="457" t="s">
        <v>881</v>
      </c>
      <c r="D8" s="742" t="s">
        <v>891</v>
      </c>
      <c r="E8" s="1669" t="s">
        <v>892</v>
      </c>
      <c r="F8" s="1670" t="s">
        <v>893</v>
      </c>
      <c r="G8" s="385"/>
      <c r="H8" s="457" t="s">
        <v>881</v>
      </c>
      <c r="I8" s="742" t="s">
        <v>894</v>
      </c>
      <c r="J8" s="1669" t="s">
        <v>888</v>
      </c>
      <c r="K8" s="1669" t="s">
        <v>895</v>
      </c>
      <c r="L8" s="1670" t="s">
        <v>896</v>
      </c>
      <c r="M8" s="387"/>
      <c r="O8" s="750"/>
      <c r="P8" s="741"/>
      <c r="Q8" s="741"/>
      <c r="R8" s="750"/>
      <c r="S8" s="741"/>
      <c r="T8" s="741"/>
      <c r="U8" s="741"/>
      <c r="V8" s="545"/>
      <c r="W8" s="750"/>
      <c r="X8" s="741"/>
      <c r="Y8" s="741"/>
      <c r="Z8" s="741"/>
      <c r="AA8" s="741"/>
      <c r="AB8" s="754"/>
    </row>
    <row r="9" spans="2:28" s="388" customFormat="1">
      <c r="B9" s="386"/>
      <c r="C9" s="457" t="s">
        <v>882</v>
      </c>
      <c r="D9" s="743" t="s">
        <v>897</v>
      </c>
      <c r="E9" s="744" t="s">
        <v>898</v>
      </c>
      <c r="F9" s="745" t="s">
        <v>899</v>
      </c>
      <c r="G9" s="385"/>
      <c r="H9" s="457" t="s">
        <v>882</v>
      </c>
      <c r="I9" s="743" t="s">
        <v>900</v>
      </c>
      <c r="J9" s="744" t="s">
        <v>901</v>
      </c>
      <c r="K9" s="744" t="s">
        <v>902</v>
      </c>
      <c r="L9" s="745" t="s">
        <v>903</v>
      </c>
      <c r="M9" s="387"/>
      <c r="O9" s="750"/>
      <c r="P9" s="741"/>
      <c r="Q9" s="741"/>
      <c r="R9" s="750"/>
      <c r="S9" s="751"/>
      <c r="T9" s="751"/>
      <c r="U9" s="751"/>
      <c r="V9" s="750"/>
      <c r="W9" s="750"/>
      <c r="X9" s="750"/>
      <c r="Y9" s="750"/>
      <c r="Z9" s="750"/>
      <c r="AA9" s="750"/>
      <c r="AB9" s="754"/>
    </row>
    <row r="10" spans="2:28" s="388" customFormat="1">
      <c r="B10" s="386"/>
      <c r="C10" s="457" t="s">
        <v>883</v>
      </c>
      <c r="D10" s="746" t="s">
        <v>904</v>
      </c>
      <c r="E10" s="747" t="s">
        <v>905</v>
      </c>
      <c r="F10" s="748" t="s">
        <v>906</v>
      </c>
      <c r="G10" s="385"/>
      <c r="H10" s="457" t="s">
        <v>883</v>
      </c>
      <c r="I10" s="746" t="s">
        <v>907</v>
      </c>
      <c r="J10" s="747" t="s">
        <v>908</v>
      </c>
      <c r="K10" s="747" t="s">
        <v>909</v>
      </c>
      <c r="L10" s="748" t="s">
        <v>910</v>
      </c>
      <c r="M10" s="387"/>
      <c r="O10" s="750"/>
      <c r="P10" s="741"/>
      <c r="Q10" s="741"/>
      <c r="R10" s="750"/>
      <c r="S10" s="751"/>
      <c r="T10" s="751"/>
      <c r="U10" s="751"/>
      <c r="V10" s="750"/>
      <c r="W10" s="750"/>
      <c r="X10" s="1666"/>
      <c r="Y10" s="1666"/>
      <c r="Z10" s="750"/>
      <c r="AA10" s="750"/>
      <c r="AB10" s="754"/>
    </row>
    <row r="11" spans="2:28" s="388" customFormat="1" ht="14.25">
      <c r="B11" s="386"/>
      <c r="C11" s="385"/>
      <c r="D11" s="392"/>
      <c r="E11" s="392"/>
      <c r="F11" s="392"/>
      <c r="G11" s="385"/>
      <c r="H11" s="385"/>
      <c r="I11" s="385"/>
      <c r="J11" s="385"/>
      <c r="K11" s="385"/>
      <c r="L11" s="385"/>
      <c r="M11" s="387"/>
      <c r="O11" s="750"/>
      <c r="P11" s="751"/>
      <c r="Q11" s="751"/>
      <c r="R11" s="749"/>
      <c r="S11" s="749"/>
      <c r="T11" s="749"/>
      <c r="U11" s="749"/>
      <c r="V11" s="750"/>
      <c r="W11" s="750"/>
      <c r="X11" s="750"/>
      <c r="Y11" s="750"/>
      <c r="Z11" s="750"/>
      <c r="AA11" s="750"/>
      <c r="AB11" s="754"/>
    </row>
    <row r="12" spans="2:28" s="388" customFormat="1" ht="14.25">
      <c r="B12" s="386"/>
      <c r="C12" s="385" t="s">
        <v>523</v>
      </c>
      <c r="D12" s="392"/>
      <c r="E12" s="392"/>
      <c r="F12" s="392"/>
      <c r="G12" s="385"/>
      <c r="H12" s="385"/>
      <c r="I12" s="1655" t="s">
        <v>514</v>
      </c>
      <c r="J12" s="1656"/>
      <c r="K12" s="385"/>
      <c r="L12" s="385"/>
      <c r="M12" s="387"/>
      <c r="O12" s="750"/>
      <c r="P12" s="751"/>
      <c r="Q12" s="751"/>
      <c r="R12" s="749"/>
      <c r="S12" s="749"/>
      <c r="T12" s="749"/>
      <c r="U12" s="749"/>
      <c r="V12" s="750"/>
      <c r="W12" s="750"/>
      <c r="X12" s="750"/>
      <c r="Y12" s="750"/>
      <c r="Z12" s="750"/>
      <c r="AA12" s="750"/>
      <c r="AB12" s="754"/>
    </row>
    <row r="13" spans="2:28" s="388" customFormat="1">
      <c r="B13" s="386"/>
      <c r="C13" s="389" t="s">
        <v>516</v>
      </c>
      <c r="D13" s="390" t="s">
        <v>517</v>
      </c>
      <c r="E13" s="390" t="s">
        <v>518</v>
      </c>
      <c r="F13" s="390" t="s">
        <v>519</v>
      </c>
      <c r="G13" s="385"/>
      <c r="H13" s="385"/>
      <c r="I13" s="391" t="s">
        <v>520</v>
      </c>
      <c r="J13" s="391" t="s">
        <v>521</v>
      </c>
      <c r="K13" s="385"/>
      <c r="L13" s="385"/>
      <c r="M13" s="387"/>
      <c r="O13" s="749"/>
      <c r="P13" s="749"/>
      <c r="Q13" s="749"/>
      <c r="R13" s="750"/>
      <c r="S13" s="741"/>
      <c r="T13" s="741"/>
      <c r="U13" s="741"/>
      <c r="V13" s="750"/>
      <c r="W13" s="750"/>
      <c r="X13" s="741"/>
      <c r="Y13" s="741"/>
      <c r="Z13" s="750"/>
      <c r="AA13" s="750"/>
      <c r="AB13" s="754"/>
    </row>
    <row r="14" spans="2:28" s="388" customFormat="1">
      <c r="B14" s="386"/>
      <c r="C14" s="389"/>
      <c r="D14" s="389"/>
      <c r="E14" s="389"/>
      <c r="F14" s="389"/>
      <c r="G14" s="385"/>
      <c r="H14" s="385"/>
      <c r="I14" s="385"/>
      <c r="J14" s="385"/>
      <c r="K14" s="385"/>
      <c r="L14" s="385"/>
      <c r="M14" s="387"/>
      <c r="O14" s="749"/>
      <c r="P14" s="749"/>
      <c r="Q14" s="749"/>
      <c r="R14" s="750"/>
      <c r="S14" s="741"/>
      <c r="T14" s="741"/>
      <c r="U14" s="741"/>
      <c r="V14" s="750"/>
      <c r="W14" s="750"/>
      <c r="X14" s="741"/>
      <c r="Y14" s="741"/>
      <c r="Z14" s="750"/>
      <c r="AA14" s="750"/>
      <c r="AB14" s="754"/>
    </row>
    <row r="15" spans="2:28" s="388" customFormat="1">
      <c r="B15" s="386"/>
      <c r="C15" s="457" t="s">
        <v>881</v>
      </c>
      <c r="D15" s="744" t="s">
        <v>911</v>
      </c>
      <c r="E15" s="744" t="s">
        <v>912</v>
      </c>
      <c r="F15" s="745" t="s">
        <v>887</v>
      </c>
      <c r="G15" s="385"/>
      <c r="H15" s="457" t="s">
        <v>881</v>
      </c>
      <c r="I15" s="743" t="s">
        <v>885</v>
      </c>
      <c r="J15" s="745" t="s">
        <v>890</v>
      </c>
      <c r="K15" s="385"/>
      <c r="L15" s="385"/>
      <c r="M15" s="387"/>
      <c r="O15" s="750"/>
      <c r="P15" s="741"/>
      <c r="Q15" s="741"/>
      <c r="R15" s="750"/>
      <c r="S15" s="741"/>
      <c r="T15" s="741"/>
      <c r="U15" s="741"/>
      <c r="V15" s="750"/>
      <c r="W15" s="750"/>
      <c r="X15" s="741"/>
      <c r="Y15" s="741"/>
      <c r="Z15" s="750"/>
      <c r="AA15" s="750"/>
      <c r="AB15" s="754"/>
    </row>
    <row r="16" spans="2:28" s="388" customFormat="1">
      <c r="B16" s="386"/>
      <c r="C16" s="457" t="s">
        <v>882</v>
      </c>
      <c r="D16" s="744" t="s">
        <v>913</v>
      </c>
      <c r="E16" s="744" t="s">
        <v>914</v>
      </c>
      <c r="F16" s="745" t="s">
        <v>915</v>
      </c>
      <c r="G16" s="385"/>
      <c r="H16" s="457" t="s">
        <v>882</v>
      </c>
      <c r="I16" s="743" t="s">
        <v>886</v>
      </c>
      <c r="J16" s="745" t="s">
        <v>916</v>
      </c>
      <c r="K16" s="385"/>
      <c r="L16" s="385"/>
      <c r="M16" s="387"/>
      <c r="O16" s="750"/>
      <c r="P16" s="741"/>
      <c r="Q16" s="741"/>
      <c r="R16" s="741"/>
      <c r="S16" s="750"/>
      <c r="T16" s="750"/>
      <c r="U16" s="741"/>
      <c r="V16" s="741"/>
      <c r="W16" s="750"/>
      <c r="X16" s="750"/>
    </row>
    <row r="17" spans="2:24" s="388" customFormat="1">
      <c r="B17" s="386"/>
      <c r="C17" s="457" t="s">
        <v>883</v>
      </c>
      <c r="D17" s="747" t="s">
        <v>917</v>
      </c>
      <c r="E17" s="747" t="s">
        <v>918</v>
      </c>
      <c r="F17" s="748" t="s">
        <v>884</v>
      </c>
      <c r="G17" s="385"/>
      <c r="H17" s="457" t="s">
        <v>883</v>
      </c>
      <c r="I17" s="746" t="s">
        <v>919</v>
      </c>
      <c r="J17" s="748" t="s">
        <v>889</v>
      </c>
      <c r="K17" s="385"/>
      <c r="L17" s="385"/>
      <c r="M17" s="387"/>
      <c r="O17" s="750"/>
      <c r="P17" s="741"/>
      <c r="Q17" s="741"/>
      <c r="R17" s="741"/>
      <c r="S17" s="750"/>
      <c r="T17" s="750"/>
      <c r="U17" s="741"/>
      <c r="V17" s="741"/>
      <c r="W17" s="750"/>
      <c r="X17" s="750"/>
    </row>
    <row r="18" spans="2:24" s="388" customFormat="1" ht="14.25">
      <c r="B18" s="386"/>
      <c r="C18" s="385"/>
      <c r="D18" s="385"/>
      <c r="E18" s="385"/>
      <c r="F18" s="385"/>
      <c r="G18" s="385"/>
      <c r="H18" s="385"/>
      <c r="I18" s="385"/>
      <c r="J18" s="385"/>
      <c r="K18" s="385"/>
      <c r="L18" s="385"/>
      <c r="M18" s="387"/>
    </row>
    <row r="19" spans="2:24" s="388" customFormat="1" ht="30.75" customHeight="1">
      <c r="B19" s="386"/>
      <c r="C19" s="1657" t="s">
        <v>920</v>
      </c>
      <c r="D19" s="1671"/>
      <c r="E19" s="1671"/>
      <c r="F19" s="1671"/>
      <c r="G19" s="1671"/>
      <c r="H19" s="1671"/>
      <c r="I19" s="1671"/>
      <c r="J19" s="1671"/>
      <c r="K19" s="1671"/>
      <c r="L19" s="1658"/>
      <c r="M19" s="387"/>
    </row>
    <row r="20" spans="2:24" s="388" customFormat="1" thickBot="1">
      <c r="B20" s="393"/>
      <c r="C20" s="394"/>
      <c r="D20" s="394"/>
      <c r="E20" s="394"/>
      <c r="F20" s="394"/>
      <c r="G20" s="394"/>
      <c r="H20" s="394"/>
      <c r="I20" s="394"/>
      <c r="J20" s="394"/>
      <c r="K20" s="394"/>
      <c r="L20" s="394"/>
      <c r="M20" s="395"/>
    </row>
    <row r="22" spans="2:24" ht="15.75" thickBot="1">
      <c r="B22" s="64" t="s">
        <v>524</v>
      </c>
    </row>
    <row r="23" spans="2:24">
      <c r="B23" s="396"/>
      <c r="C23" s="397"/>
      <c r="D23" s="398"/>
      <c r="E23" s="398"/>
      <c r="F23" s="398"/>
      <c r="G23" s="398"/>
      <c r="H23" s="398"/>
      <c r="I23" s="398"/>
      <c r="J23" s="399"/>
      <c r="K23" s="400"/>
      <c r="L23" s="400"/>
      <c r="M23" s="401"/>
    </row>
    <row r="24" spans="2:24" s="404" customFormat="1">
      <c r="B24" s="402"/>
      <c r="C24" s="403" t="s">
        <v>525</v>
      </c>
      <c r="J24" s="405"/>
      <c r="M24" s="405"/>
    </row>
    <row r="25" spans="2:24" s="404" customFormat="1" ht="14.25">
      <c r="B25" s="402"/>
      <c r="C25" s="402"/>
      <c r="J25" s="405"/>
      <c r="M25" s="405"/>
    </row>
    <row r="26" spans="2:24" s="404" customFormat="1" ht="15.75">
      <c r="B26" s="402"/>
      <c r="C26" s="406" t="s">
        <v>526</v>
      </c>
      <c r="D26" s="407"/>
      <c r="E26" s="407"/>
      <c r="F26" s="408" t="s">
        <v>527</v>
      </c>
      <c r="G26" s="407"/>
      <c r="H26" s="407"/>
      <c r="I26" s="407"/>
      <c r="J26" s="409"/>
      <c r="K26" s="410"/>
      <c r="M26" s="405"/>
    </row>
    <row r="27" spans="2:24" s="404" customFormat="1" ht="16.5" thickBot="1">
      <c r="B27" s="402"/>
      <c r="C27" s="406"/>
      <c r="D27" s="407"/>
      <c r="E27" s="407"/>
      <c r="F27" s="407"/>
      <c r="G27" s="407"/>
      <c r="H27" s="407"/>
      <c r="I27" s="407"/>
      <c r="J27" s="409"/>
      <c r="K27" s="410"/>
      <c r="M27" s="405"/>
    </row>
    <row r="28" spans="2:24" ht="16.5" thickBot="1">
      <c r="B28" s="411"/>
      <c r="C28" s="406" t="s">
        <v>528</v>
      </c>
      <c r="D28" s="407"/>
      <c r="E28" s="407"/>
      <c r="F28" s="412">
        <f>+'[8]EMBI SPREAD'!D3404</f>
        <v>2.7387525070196653E-2</v>
      </c>
      <c r="G28" s="407"/>
      <c r="H28" s="413" t="s">
        <v>529</v>
      </c>
      <c r="I28" s="407"/>
      <c r="J28" s="409"/>
      <c r="K28" s="414"/>
      <c r="L28" s="126"/>
      <c r="M28" s="415"/>
    </row>
    <row r="29" spans="2:24" ht="16.5" thickBot="1">
      <c r="B29" s="411"/>
      <c r="C29" s="406"/>
      <c r="D29" s="407"/>
      <c r="E29" s="407"/>
      <c r="F29" s="407"/>
      <c r="G29" s="407"/>
      <c r="H29" s="407"/>
      <c r="I29" s="407"/>
      <c r="J29" s="409"/>
      <c r="K29" s="414"/>
      <c r="L29" s="126"/>
      <c r="M29" s="415"/>
    </row>
    <row r="30" spans="2:24" ht="16.5" thickBot="1">
      <c r="B30" s="411"/>
      <c r="C30" s="416" t="s">
        <v>530</v>
      </c>
      <c r="D30" s="407"/>
      <c r="E30" s="407"/>
      <c r="F30" s="417">
        <f>+'[8]IGBC COLOMBIA'!I2849</f>
        <v>0.25118702498894385</v>
      </c>
      <c r="G30" s="407"/>
      <c r="H30" s="413" t="s">
        <v>531</v>
      </c>
      <c r="I30" s="407"/>
      <c r="J30" s="409"/>
      <c r="K30" s="414"/>
      <c r="L30" s="126"/>
      <c r="M30" s="415"/>
    </row>
    <row r="31" spans="2:24" ht="16.5" thickBot="1">
      <c r="B31" s="411"/>
      <c r="C31" s="406"/>
      <c r="D31" s="407"/>
      <c r="E31" s="407"/>
      <c r="F31" s="407"/>
      <c r="G31" s="407"/>
      <c r="H31" s="407"/>
      <c r="I31" s="407"/>
      <c r="J31" s="409"/>
      <c r="K31" s="414"/>
      <c r="L31" s="126"/>
      <c r="M31" s="415"/>
    </row>
    <row r="32" spans="2:24" ht="16.5" thickBot="1">
      <c r="B32" s="411"/>
      <c r="C32" s="416" t="s">
        <v>532</v>
      </c>
      <c r="D32" s="407"/>
      <c r="E32" s="407"/>
      <c r="F32" s="417">
        <f>+'[8]EMBI SPREAD'!E3418</f>
        <v>0.21725681686637702</v>
      </c>
      <c r="G32" s="407"/>
      <c r="H32" s="413" t="s">
        <v>531</v>
      </c>
      <c r="I32" s="407"/>
      <c r="J32" s="409"/>
      <c r="K32" s="414"/>
      <c r="L32" s="126"/>
      <c r="M32" s="415"/>
    </row>
    <row r="33" spans="2:24" ht="15.75">
      <c r="B33" s="411"/>
      <c r="C33" s="406"/>
      <c r="D33" s="407"/>
      <c r="E33" s="407"/>
      <c r="F33" s="407"/>
      <c r="G33" s="407"/>
      <c r="H33" s="407"/>
      <c r="I33" s="407"/>
      <c r="J33" s="409"/>
      <c r="K33" s="414"/>
      <c r="L33" s="126"/>
      <c r="M33" s="415"/>
    </row>
    <row r="34" spans="2:24" ht="15.75">
      <c r="B34" s="411"/>
      <c r="C34" s="406" t="s">
        <v>533</v>
      </c>
      <c r="D34" s="407"/>
      <c r="E34" s="407"/>
      <c r="F34" s="418">
        <f>(F30/F32)</f>
        <v>1.1561755741981412</v>
      </c>
      <c r="G34" s="407"/>
      <c r="H34" s="407" t="s">
        <v>534</v>
      </c>
      <c r="I34" s="407"/>
      <c r="J34" s="409"/>
      <c r="K34" s="419"/>
      <c r="L34" s="126"/>
      <c r="M34" s="415"/>
    </row>
    <row r="35" spans="2:24" ht="16.5" thickBot="1">
      <c r="B35" s="411"/>
      <c r="C35" s="406"/>
      <c r="D35" s="407"/>
      <c r="E35" s="407"/>
      <c r="F35" s="407"/>
      <c r="G35" s="407"/>
      <c r="H35" s="407"/>
      <c r="I35" s="407"/>
      <c r="J35" s="409"/>
      <c r="K35" s="414"/>
      <c r="L35" s="126"/>
      <c r="M35" s="415"/>
    </row>
    <row r="36" spans="2:24" ht="16.5" thickBot="1">
      <c r="B36" s="411"/>
      <c r="C36" s="406" t="s">
        <v>535</v>
      </c>
      <c r="D36" s="407"/>
      <c r="E36" s="407"/>
      <c r="F36" s="420">
        <f>+F28*F34</f>
        <v>3.1664787523900603E-2</v>
      </c>
      <c r="G36" s="407"/>
      <c r="H36" s="421"/>
      <c r="I36" s="407"/>
      <c r="J36" s="409"/>
      <c r="K36" s="414"/>
      <c r="L36" s="126"/>
      <c r="M36" s="415"/>
    </row>
    <row r="37" spans="2:24" ht="15.75" thickBot="1">
      <c r="B37" s="422"/>
      <c r="C37" s="423"/>
      <c r="D37" s="424"/>
      <c r="E37" s="424"/>
      <c r="F37" s="424"/>
      <c r="G37" s="424"/>
      <c r="H37" s="424"/>
      <c r="I37" s="424"/>
      <c r="J37" s="425"/>
      <c r="K37" s="426"/>
      <c r="L37" s="426"/>
      <c r="M37" s="427"/>
    </row>
    <row r="39" spans="2:24" ht="15.75" thickBot="1">
      <c r="C39" s="17" t="s">
        <v>536</v>
      </c>
    </row>
    <row r="40" spans="2:24">
      <c r="C40" s="428"/>
      <c r="D40" s="429"/>
      <c r="E40" s="429"/>
      <c r="F40" s="429"/>
      <c r="G40" s="429"/>
      <c r="H40" s="429"/>
      <c r="I40" s="429"/>
      <c r="J40" s="429"/>
      <c r="K40" s="429"/>
      <c r="L40" s="400"/>
      <c r="M40" s="401"/>
    </row>
    <row r="41" spans="2:24">
      <c r="C41" s="430" t="s">
        <v>537</v>
      </c>
      <c r="D41" s="431"/>
      <c r="E41" s="431"/>
      <c r="F41" s="431"/>
      <c r="G41" s="432"/>
      <c r="H41" s="432"/>
      <c r="I41" s="432"/>
      <c r="J41" s="432"/>
      <c r="K41" s="432"/>
      <c r="L41" s="126"/>
      <c r="M41" s="415"/>
    </row>
    <row r="42" spans="2:24">
      <c r="C42" s="430"/>
      <c r="D42" s="431"/>
      <c r="E42" s="431"/>
      <c r="F42" s="431"/>
      <c r="G42" s="432"/>
      <c r="H42" s="432"/>
      <c r="I42" s="432"/>
      <c r="J42" s="432"/>
      <c r="K42" s="432"/>
      <c r="L42" s="126"/>
      <c r="M42" s="415"/>
    </row>
    <row r="43" spans="2:24">
      <c r="C43" s="430"/>
      <c r="D43" s="431"/>
      <c r="E43" s="1493" t="s">
        <v>674</v>
      </c>
      <c r="F43" s="1663" t="s">
        <v>675</v>
      </c>
      <c r="G43" s="1663"/>
      <c r="H43" s="1493" t="s">
        <v>676</v>
      </c>
      <c r="I43" s="1493" t="s">
        <v>677</v>
      </c>
      <c r="J43" s="1493" t="s">
        <v>662</v>
      </c>
      <c r="K43" s="1493" t="s">
        <v>678</v>
      </c>
      <c r="L43" s="1493" t="s">
        <v>679</v>
      </c>
      <c r="M43" s="415"/>
      <c r="O43" s="1493" t="s">
        <v>674</v>
      </c>
      <c r="P43" s="1663" t="s">
        <v>675</v>
      </c>
      <c r="Q43" s="1663"/>
      <c r="R43" s="1493" t="s">
        <v>676</v>
      </c>
      <c r="S43" s="1493" t="s">
        <v>677</v>
      </c>
      <c r="T43" s="1493" t="s">
        <v>662</v>
      </c>
      <c r="U43" s="1493" t="s">
        <v>678</v>
      </c>
      <c r="V43" s="1493" t="s">
        <v>679</v>
      </c>
    </row>
    <row r="44" spans="2:24" ht="24.75" customHeight="1">
      <c r="C44" s="430"/>
      <c r="D44" s="431"/>
      <c r="E44" s="539" t="s">
        <v>680</v>
      </c>
      <c r="F44" s="1646" t="s">
        <v>616</v>
      </c>
      <c r="G44" s="1646"/>
      <c r="H44" s="541" t="s">
        <v>681</v>
      </c>
      <c r="I44" s="548">
        <v>0.37</v>
      </c>
      <c r="J44" s="549">
        <v>8.7499999999999994E-2</v>
      </c>
      <c r="K44" s="550">
        <v>0.35</v>
      </c>
      <c r="L44" s="543">
        <f t="shared" ref="L44:L53" si="0">+I44/(1+(1-K44)*(J44))</f>
        <v>0.35008870490833827</v>
      </c>
      <c r="M44" s="415"/>
      <c r="O44" s="539" t="s">
        <v>680</v>
      </c>
      <c r="P44" s="1667" t="s">
        <v>616</v>
      </c>
      <c r="Q44" s="1668"/>
      <c r="R44" s="541" t="s">
        <v>681</v>
      </c>
      <c r="S44" s="542">
        <v>0.94</v>
      </c>
      <c r="T44" s="549">
        <v>0.77500000000000002</v>
      </c>
      <c r="U44" s="546">
        <f>+K44</f>
        <v>0.35</v>
      </c>
      <c r="V44" s="543">
        <f t="shared" ref="V44:V53" si="1">+S44/(1+(1-U44)*(T44))</f>
        <v>0.62510390689941797</v>
      </c>
      <c r="X44" s="64" t="s">
        <v>693</v>
      </c>
    </row>
    <row r="45" spans="2:24" ht="24.75" customHeight="1">
      <c r="C45" s="430"/>
      <c r="D45" s="431"/>
      <c r="E45" s="539" t="s">
        <v>682</v>
      </c>
      <c r="F45" s="1646" t="s">
        <v>616</v>
      </c>
      <c r="G45" s="1646"/>
      <c r="H45" s="541" t="s">
        <v>681</v>
      </c>
      <c r="I45" s="548">
        <v>0.64</v>
      </c>
      <c r="J45" s="549">
        <v>0.21379999999999999</v>
      </c>
      <c r="K45" s="550">
        <v>0.33300000000000002</v>
      </c>
      <c r="L45" s="543">
        <f t="shared" si="0"/>
        <v>0.5601237733508162</v>
      </c>
      <c r="M45" s="415"/>
      <c r="O45" s="539" t="s">
        <v>682</v>
      </c>
      <c r="P45" s="1646" t="s">
        <v>616</v>
      </c>
      <c r="Q45" s="1646"/>
      <c r="R45" s="541" t="s">
        <v>681</v>
      </c>
      <c r="S45" s="542">
        <v>0.77</v>
      </c>
      <c r="T45" s="549">
        <v>0.374</v>
      </c>
      <c r="U45" s="546">
        <f t="shared" ref="U45:U53" si="2">+K45</f>
        <v>0.33300000000000002</v>
      </c>
      <c r="V45" s="543">
        <f t="shared" si="1"/>
        <v>0.6162672134637579</v>
      </c>
    </row>
    <row r="46" spans="2:24" ht="24.75" customHeight="1">
      <c r="C46" s="430"/>
      <c r="D46" s="431"/>
      <c r="E46" s="539" t="s">
        <v>683</v>
      </c>
      <c r="F46" s="1646" t="s">
        <v>616</v>
      </c>
      <c r="G46" s="1646"/>
      <c r="H46" s="541" t="s">
        <v>681</v>
      </c>
      <c r="I46" s="548">
        <v>0.57999999999999996</v>
      </c>
      <c r="J46" s="549">
        <v>0.40189999999999998</v>
      </c>
      <c r="K46" s="550">
        <v>0.35</v>
      </c>
      <c r="L46" s="543">
        <f t="shared" si="0"/>
        <v>0.45986671793916273</v>
      </c>
      <c r="M46" s="415"/>
      <c r="O46" s="539" t="s">
        <v>683</v>
      </c>
      <c r="P46" s="1646" t="s">
        <v>616</v>
      </c>
      <c r="Q46" s="1646"/>
      <c r="R46" s="541" t="s">
        <v>681</v>
      </c>
      <c r="S46" s="542">
        <v>0.88</v>
      </c>
      <c r="T46" s="549">
        <v>0.67</v>
      </c>
      <c r="U46" s="546">
        <f t="shared" si="2"/>
        <v>0.35</v>
      </c>
      <c r="V46" s="543">
        <f t="shared" si="1"/>
        <v>0.6130268199233716</v>
      </c>
    </row>
    <row r="47" spans="2:24" ht="24.75" customHeight="1">
      <c r="C47" s="430"/>
      <c r="D47" s="431"/>
      <c r="E47" s="539" t="s">
        <v>684</v>
      </c>
      <c r="F47" s="1646" t="s">
        <v>616</v>
      </c>
      <c r="G47" s="1646"/>
      <c r="H47" s="541" t="s">
        <v>681</v>
      </c>
      <c r="I47" s="548">
        <v>0.32</v>
      </c>
      <c r="J47" s="549">
        <v>0.28460000000000002</v>
      </c>
      <c r="K47" s="550">
        <v>0.28000000000000003</v>
      </c>
      <c r="L47" s="543">
        <f t="shared" si="0"/>
        <v>0.26557956099698571</v>
      </c>
      <c r="M47" s="415"/>
      <c r="O47" s="539" t="s">
        <v>684</v>
      </c>
      <c r="P47" s="1646" t="s">
        <v>616</v>
      </c>
      <c r="Q47" s="1646"/>
      <c r="R47" s="541" t="s">
        <v>681</v>
      </c>
      <c r="S47" s="542">
        <v>0.75</v>
      </c>
      <c r="T47" s="549">
        <v>0.4</v>
      </c>
      <c r="U47" s="546">
        <f t="shared" si="2"/>
        <v>0.28000000000000003</v>
      </c>
      <c r="V47" s="543">
        <f t="shared" si="1"/>
        <v>0.58229813664596275</v>
      </c>
      <c r="W47" s="545"/>
    </row>
    <row r="48" spans="2:24" ht="24.75" customHeight="1">
      <c r="C48" s="430"/>
      <c r="D48" s="431"/>
      <c r="E48" s="539" t="s">
        <v>685</v>
      </c>
      <c r="F48" s="1646" t="s">
        <v>616</v>
      </c>
      <c r="G48" s="1646"/>
      <c r="H48" s="541" t="s">
        <v>681</v>
      </c>
      <c r="I48" s="548">
        <v>0.66</v>
      </c>
      <c r="J48" s="549">
        <v>0.1923</v>
      </c>
      <c r="K48" s="550">
        <v>0.33300000000000002</v>
      </c>
      <c r="L48" s="543">
        <f t="shared" si="0"/>
        <v>0.58496942338234459</v>
      </c>
      <c r="M48" s="415"/>
      <c r="O48" s="539" t="s">
        <v>685</v>
      </c>
      <c r="P48" s="1646" t="s">
        <v>616</v>
      </c>
      <c r="Q48" s="1646"/>
      <c r="R48" s="541" t="s">
        <v>681</v>
      </c>
      <c r="S48" s="542">
        <v>0.81</v>
      </c>
      <c r="T48" s="549">
        <v>0.24</v>
      </c>
      <c r="U48" s="546">
        <f t="shared" si="2"/>
        <v>0.33300000000000002</v>
      </c>
      <c r="V48" s="543">
        <f t="shared" si="1"/>
        <v>0.69822770843390114</v>
      </c>
      <c r="W48" s="545"/>
    </row>
    <row r="49" spans="3:24" ht="24.75" customHeight="1">
      <c r="C49" s="430"/>
      <c r="D49" s="431"/>
      <c r="E49" s="539" t="s">
        <v>686</v>
      </c>
      <c r="F49" s="1646" t="s">
        <v>616</v>
      </c>
      <c r="G49" s="1646"/>
      <c r="H49" s="541" t="s">
        <v>681</v>
      </c>
      <c r="I49" s="548">
        <v>1.87</v>
      </c>
      <c r="J49" s="549">
        <v>0.47720000000000001</v>
      </c>
      <c r="K49" s="550">
        <v>0.35</v>
      </c>
      <c r="L49" s="543">
        <f t="shared" si="0"/>
        <v>1.4272848005617551</v>
      </c>
      <c r="M49" s="415"/>
      <c r="O49" s="539" t="s">
        <v>686</v>
      </c>
      <c r="P49" s="1646" t="s">
        <v>616</v>
      </c>
      <c r="Q49" s="1646"/>
      <c r="R49" s="541" t="s">
        <v>681</v>
      </c>
      <c r="S49" s="542">
        <v>1.49</v>
      </c>
      <c r="T49" s="549">
        <v>1.1140000000000001</v>
      </c>
      <c r="U49" s="546">
        <f t="shared" si="2"/>
        <v>0.35</v>
      </c>
      <c r="V49" s="543">
        <f t="shared" si="1"/>
        <v>0.86421901281828206</v>
      </c>
      <c r="W49" s="545"/>
    </row>
    <row r="50" spans="3:24" ht="24.75" customHeight="1">
      <c r="C50" s="430"/>
      <c r="D50" s="431"/>
      <c r="E50" s="539" t="s">
        <v>687</v>
      </c>
      <c r="F50" s="1646" t="s">
        <v>616</v>
      </c>
      <c r="G50" s="1646"/>
      <c r="H50" s="541" t="s">
        <v>681</v>
      </c>
      <c r="I50" s="548">
        <v>1.0900000000000001</v>
      </c>
      <c r="J50" s="549">
        <v>0.43219999999999997</v>
      </c>
      <c r="K50" s="550">
        <v>0.35</v>
      </c>
      <c r="L50" s="543">
        <f t="shared" si="0"/>
        <v>0.85094423582865575</v>
      </c>
      <c r="M50" s="415"/>
      <c r="O50" s="539" t="s">
        <v>687</v>
      </c>
      <c r="P50" s="1646" t="s">
        <v>616</v>
      </c>
      <c r="Q50" s="1646"/>
      <c r="R50" s="541" t="s">
        <v>681</v>
      </c>
      <c r="S50" s="542">
        <v>0.96</v>
      </c>
      <c r="T50" s="549">
        <v>1.6379999999999999</v>
      </c>
      <c r="U50" s="546">
        <f t="shared" si="2"/>
        <v>0.35</v>
      </c>
      <c r="V50" s="543">
        <f t="shared" si="1"/>
        <v>0.46495858962561143</v>
      </c>
      <c r="W50" s="545"/>
    </row>
    <row r="51" spans="3:24" ht="24.75" customHeight="1">
      <c r="C51" s="430"/>
      <c r="D51" s="431"/>
      <c r="E51" s="539" t="s">
        <v>688</v>
      </c>
      <c r="F51" s="1646" t="s">
        <v>616</v>
      </c>
      <c r="G51" s="1646"/>
      <c r="H51" s="541" t="s">
        <v>681</v>
      </c>
      <c r="I51" s="548">
        <v>0.35</v>
      </c>
      <c r="J51" s="549">
        <v>0.29349999999999998</v>
      </c>
      <c r="K51" s="550">
        <v>0.35</v>
      </c>
      <c r="L51" s="543">
        <f t="shared" si="0"/>
        <v>0.29392622451764605</v>
      </c>
      <c r="M51" s="415"/>
      <c r="O51" s="539" t="s">
        <v>688</v>
      </c>
      <c r="P51" s="1646" t="s">
        <v>616</v>
      </c>
      <c r="Q51" s="1646"/>
      <c r="R51" s="541" t="s">
        <v>681</v>
      </c>
      <c r="S51" s="542">
        <v>0.92</v>
      </c>
      <c r="T51" s="549">
        <v>0.42199999999999999</v>
      </c>
      <c r="U51" s="546">
        <f t="shared" si="2"/>
        <v>0.35</v>
      </c>
      <c r="V51" s="543">
        <f t="shared" si="1"/>
        <v>0.72196500039237232</v>
      </c>
      <c r="W51" s="545"/>
    </row>
    <row r="52" spans="3:24" ht="24.75" customHeight="1">
      <c r="C52" s="430"/>
      <c r="D52" s="431"/>
      <c r="E52" s="539" t="s">
        <v>689</v>
      </c>
      <c r="F52" s="1646" t="s">
        <v>616</v>
      </c>
      <c r="G52" s="1646"/>
      <c r="H52" s="541" t="s">
        <v>681</v>
      </c>
      <c r="I52" s="548">
        <v>0.52</v>
      </c>
      <c r="J52" s="549">
        <v>0.62350000000000005</v>
      </c>
      <c r="K52" s="550">
        <v>0.255</v>
      </c>
      <c r="L52" s="543">
        <f t="shared" si="0"/>
        <v>0.35506817138184682</v>
      </c>
      <c r="M52" s="415"/>
      <c r="O52" s="539" t="s">
        <v>689</v>
      </c>
      <c r="P52" s="1646" t="s">
        <v>616</v>
      </c>
      <c r="Q52" s="1646"/>
      <c r="R52" s="541" t="s">
        <v>681</v>
      </c>
      <c r="S52" s="542">
        <v>0.94</v>
      </c>
      <c r="T52" s="549">
        <v>1.5680000000000001</v>
      </c>
      <c r="U52" s="546">
        <f t="shared" si="2"/>
        <v>0.255</v>
      </c>
      <c r="V52" s="543">
        <f t="shared" si="1"/>
        <v>0.43354733967972836</v>
      </c>
      <c r="W52" s="545"/>
      <c r="X52" s="64" t="s">
        <v>694</v>
      </c>
    </row>
    <row r="53" spans="3:24" ht="24.75" customHeight="1">
      <c r="C53" s="430"/>
      <c r="D53" s="431"/>
      <c r="E53" s="539" t="s">
        <v>690</v>
      </c>
      <c r="F53" s="1646" t="s">
        <v>616</v>
      </c>
      <c r="G53" s="1646"/>
      <c r="H53" s="541" t="s">
        <v>681</v>
      </c>
      <c r="I53" s="548">
        <v>0.9</v>
      </c>
      <c r="J53" s="549">
        <v>0.37380000000000002</v>
      </c>
      <c r="K53" s="550">
        <v>0.125</v>
      </c>
      <c r="L53" s="543">
        <f t="shared" si="0"/>
        <v>0.67818322250061225</v>
      </c>
      <c r="M53" s="415"/>
      <c r="O53" s="539" t="s">
        <v>690</v>
      </c>
      <c r="P53" s="1646" t="s">
        <v>616</v>
      </c>
      <c r="Q53" s="1646"/>
      <c r="R53" s="541" t="s">
        <v>681</v>
      </c>
      <c r="S53" s="542">
        <v>1.1200000000000001</v>
      </c>
      <c r="T53" s="549">
        <v>0.7</v>
      </c>
      <c r="U53" s="546">
        <f t="shared" si="2"/>
        <v>0.125</v>
      </c>
      <c r="V53" s="543">
        <f t="shared" si="1"/>
        <v>0.69457364341085281</v>
      </c>
      <c r="W53" s="545"/>
    </row>
    <row r="54" spans="3:24">
      <c r="C54" s="430"/>
      <c r="D54" s="431"/>
      <c r="E54" s="540" t="s">
        <v>691</v>
      </c>
      <c r="F54" s="1647"/>
      <c r="G54" s="1672"/>
      <c r="H54" s="1648"/>
      <c r="I54" s="544">
        <f>+AVERAGE(I44:I53)</f>
        <v>0.72999999999999987</v>
      </c>
      <c r="J54" s="544">
        <f>+AVERAGE(J44:J53)</f>
        <v>0.33803</v>
      </c>
      <c r="K54" s="547">
        <f>+AVERAGE(K44:K53)</f>
        <v>0.30759999999999998</v>
      </c>
      <c r="L54" s="544">
        <f>+AVERAGE(L44:L53)</f>
        <v>0.58260348353681635</v>
      </c>
      <c r="M54" s="415"/>
      <c r="O54" s="540" t="s">
        <v>691</v>
      </c>
      <c r="P54" s="1647"/>
      <c r="Q54" s="1672"/>
      <c r="R54" s="1648"/>
      <c r="S54" s="544">
        <f>+AVERAGE(S44:S53)</f>
        <v>0.95800000000000018</v>
      </c>
      <c r="T54" s="544">
        <f>+AVERAGE(T44:T53)</f>
        <v>0.79009999999999991</v>
      </c>
      <c r="U54" s="547">
        <f>+AVERAGE(U44:U53)</f>
        <v>0.30759999999999998</v>
      </c>
      <c r="V54" s="544">
        <f>+AVERAGE(V44:V53)</f>
        <v>0.63141873712932584</v>
      </c>
    </row>
    <row r="55" spans="3:24">
      <c r="C55" s="430"/>
      <c r="D55" s="431"/>
      <c r="E55" s="431"/>
      <c r="F55" s="431"/>
      <c r="G55" s="432"/>
      <c r="H55" s="432"/>
      <c r="I55" s="432"/>
      <c r="J55" s="432"/>
      <c r="K55" s="432"/>
      <c r="L55" s="126"/>
      <c r="M55" s="415"/>
      <c r="O55" s="431"/>
      <c r="P55" s="431"/>
      <c r="Q55" s="432"/>
      <c r="R55" s="432"/>
      <c r="S55" s="432"/>
      <c r="T55" s="432"/>
      <c r="U55" s="432"/>
      <c r="V55" s="126"/>
    </row>
    <row r="56" spans="3:24">
      <c r="C56" s="430"/>
      <c r="D56" s="431"/>
      <c r="E56" s="540" t="s">
        <v>692</v>
      </c>
      <c r="F56" s="1645">
        <f>+I54/(1+(1-K54)*(J54))</f>
        <v>0.59154720916405601</v>
      </c>
      <c r="G56" s="1645"/>
      <c r="H56" s="1645"/>
      <c r="I56" s="1645"/>
      <c r="J56" s="1645"/>
      <c r="K56" s="1645"/>
      <c r="L56" s="1645"/>
      <c r="M56" s="415"/>
      <c r="O56" s="540" t="s">
        <v>692</v>
      </c>
      <c r="P56" s="1645">
        <f>+S54/(1+(1-U54)*(T54))</f>
        <v>0.61923697542322154</v>
      </c>
      <c r="Q56" s="1645"/>
      <c r="R56" s="1645"/>
      <c r="S56" s="1645"/>
      <c r="T56" s="1645"/>
      <c r="U56" s="1645"/>
      <c r="V56" s="1645"/>
    </row>
    <row r="57" spans="3:24">
      <c r="C57" s="430"/>
      <c r="D57" s="431"/>
      <c r="E57" s="431"/>
      <c r="F57" s="431"/>
      <c r="G57" s="432"/>
      <c r="H57" s="432"/>
      <c r="I57" s="432"/>
      <c r="J57" s="432"/>
      <c r="K57" s="432"/>
      <c r="L57" s="126"/>
      <c r="M57" s="415"/>
    </row>
    <row r="58" spans="3:24">
      <c r="C58" s="430"/>
      <c r="D58" s="431"/>
      <c r="E58" s="431"/>
      <c r="F58" s="431"/>
      <c r="G58" s="432"/>
      <c r="H58" s="432"/>
      <c r="I58" s="432"/>
      <c r="J58" s="432"/>
      <c r="K58" s="432"/>
      <c r="L58" s="126"/>
      <c r="M58" s="415"/>
    </row>
    <row r="59" spans="3:24" ht="22.5" customHeight="1">
      <c r="C59" s="433"/>
      <c r="D59" s="432"/>
      <c r="E59" s="432"/>
      <c r="F59" s="432"/>
      <c r="G59" s="432"/>
      <c r="H59" s="432"/>
      <c r="I59" s="434" t="s">
        <v>538</v>
      </c>
      <c r="J59" s="434" t="s">
        <v>539</v>
      </c>
      <c r="K59" s="435" t="s">
        <v>540</v>
      </c>
      <c r="L59" s="126"/>
      <c r="M59" s="415"/>
    </row>
    <row r="60" spans="3:24">
      <c r="C60" s="436"/>
      <c r="D60" s="434"/>
      <c r="E60" s="437" t="s">
        <v>526</v>
      </c>
      <c r="F60" s="437" t="s">
        <v>541</v>
      </c>
      <c r="G60" s="438"/>
      <c r="H60" s="437" t="s">
        <v>542</v>
      </c>
      <c r="I60" s="1659">
        <f>+F56</f>
        <v>0.59154720916405601</v>
      </c>
      <c r="J60" s="1661">
        <v>1</v>
      </c>
      <c r="K60" s="1661">
        <f>J60*I60</f>
        <v>0.59154720916405601</v>
      </c>
      <c r="L60" s="126"/>
      <c r="M60" s="415"/>
    </row>
    <row r="61" spans="3:24" ht="60.75" customHeight="1">
      <c r="C61" s="433"/>
      <c r="D61" s="435"/>
      <c r="E61" s="437" t="s">
        <v>543</v>
      </c>
      <c r="F61" s="437" t="str">
        <f>+[8]BETA!A49</f>
        <v>Insurance (Life)</v>
      </c>
      <c r="G61" s="438"/>
      <c r="H61" s="437" t="s">
        <v>681</v>
      </c>
      <c r="I61" s="1660"/>
      <c r="J61" s="1662"/>
      <c r="K61" s="1662"/>
      <c r="L61" s="126"/>
      <c r="M61" s="415"/>
    </row>
    <row r="62" spans="3:24" ht="6" customHeight="1">
      <c r="C62" s="439"/>
      <c r="D62" s="440"/>
      <c r="E62" s="440"/>
      <c r="F62" s="432"/>
      <c r="G62" s="432"/>
      <c r="H62" s="432"/>
      <c r="I62" s="432"/>
      <c r="J62" s="432"/>
      <c r="K62" s="432"/>
      <c r="L62" s="126"/>
      <c r="M62" s="415"/>
    </row>
    <row r="63" spans="3:24">
      <c r="C63" s="1664"/>
      <c r="D63" s="1665"/>
      <c r="E63" s="1665"/>
      <c r="F63" s="1665"/>
      <c r="G63" s="432"/>
      <c r="H63" s="432"/>
      <c r="I63" s="441" t="s">
        <v>544</v>
      </c>
      <c r="J63" s="1673"/>
      <c r="K63" s="442">
        <f>SUM(K60:K61)</f>
        <v>0.59154720916405601</v>
      </c>
      <c r="L63" s="126"/>
      <c r="M63" s="415"/>
    </row>
    <row r="64" spans="3:24" ht="6.75" customHeight="1" thickBot="1">
      <c r="C64" s="443"/>
      <c r="D64" s="444"/>
      <c r="E64" s="444"/>
      <c r="F64" s="444"/>
      <c r="G64" s="445"/>
      <c r="H64" s="445"/>
      <c r="I64" s="445"/>
      <c r="J64" s="445"/>
      <c r="K64" s="446"/>
      <c r="L64" s="426"/>
      <c r="M64" s="427"/>
    </row>
    <row r="65" spans="3:13" ht="27" customHeight="1">
      <c r="C65" s="1649" t="s">
        <v>545</v>
      </c>
      <c r="D65" s="1650"/>
      <c r="E65" s="1650"/>
      <c r="F65" s="1650"/>
      <c r="G65" s="1650"/>
      <c r="H65" s="1650"/>
      <c r="I65" s="1650"/>
      <c r="J65" s="1650"/>
      <c r="K65" s="1650"/>
      <c r="L65" s="1650"/>
      <c r="M65" s="1651"/>
    </row>
    <row r="66" spans="3:13" ht="12" customHeight="1"/>
    <row r="67" spans="3:13" s="448" customFormat="1" ht="15.75" thickBot="1">
      <c r="C67" s="447" t="s">
        <v>546</v>
      </c>
    </row>
    <row r="68" spans="3:13">
      <c r="C68" s="449" t="s">
        <v>547</v>
      </c>
      <c r="D68" s="450"/>
      <c r="E68" s="451" t="s">
        <v>548</v>
      </c>
      <c r="F68" s="452" t="s">
        <v>549</v>
      </c>
      <c r="G68" s="450"/>
      <c r="H68" s="450"/>
      <c r="I68" s="453"/>
      <c r="J68" s="450"/>
      <c r="K68" s="454"/>
      <c r="L68" s="454"/>
      <c r="M68" s="455"/>
    </row>
    <row r="69" spans="3:13">
      <c r="C69" s="456"/>
      <c r="D69" s="457"/>
      <c r="E69" s="457"/>
      <c r="F69" s="457"/>
      <c r="G69" s="457"/>
      <c r="H69" s="457"/>
      <c r="I69" s="458"/>
      <c r="J69" s="457"/>
      <c r="K69" s="404"/>
      <c r="L69" s="404"/>
      <c r="M69" s="405"/>
    </row>
    <row r="70" spans="3:13" ht="15.75" thickBot="1">
      <c r="C70" s="456" t="s">
        <v>550</v>
      </c>
      <c r="D70" s="459" t="s">
        <v>551</v>
      </c>
      <c r="F70" s="460" t="str">
        <f>+F15</f>
        <v>5.00%</v>
      </c>
      <c r="G70" s="457"/>
      <c r="H70" s="461" t="s">
        <v>552</v>
      </c>
      <c r="I70" s="458"/>
      <c r="J70" s="457"/>
      <c r="K70" s="404"/>
      <c r="L70" s="404"/>
      <c r="M70" s="405"/>
    </row>
    <row r="71" spans="3:13" ht="15.75" thickBot="1">
      <c r="C71" s="456" t="s">
        <v>553</v>
      </c>
      <c r="D71" s="457" t="s">
        <v>554</v>
      </c>
      <c r="F71" s="462">
        <f>+F72*(1+(1-F73)*F74)</f>
        <v>0.60773474262227978</v>
      </c>
      <c r="G71" s="457"/>
      <c r="H71" s="461" t="s">
        <v>555</v>
      </c>
      <c r="I71" s="458"/>
      <c r="J71" s="457"/>
      <c r="K71" s="404"/>
      <c r="L71" s="404"/>
      <c r="M71" s="405"/>
    </row>
    <row r="72" spans="3:13">
      <c r="C72" s="456"/>
      <c r="D72" s="457" t="s">
        <v>556</v>
      </c>
      <c r="F72" s="463">
        <f>+K60</f>
        <v>0.59154720916405601</v>
      </c>
      <c r="G72" s="457"/>
      <c r="H72" s="457"/>
      <c r="I72" s="458"/>
      <c r="J72" s="457"/>
      <c r="K72" s="404"/>
      <c r="L72" s="404"/>
      <c r="M72" s="405"/>
    </row>
    <row r="73" spans="3:13">
      <c r="C73" s="456"/>
      <c r="D73" s="457" t="s">
        <v>557</v>
      </c>
      <c r="F73" s="464">
        <v>0.33</v>
      </c>
      <c r="G73" s="457"/>
      <c r="H73" s="457"/>
      <c r="I73" s="458"/>
      <c r="J73" s="457"/>
      <c r="K73" s="404"/>
      <c r="L73" s="404"/>
      <c r="M73" s="405"/>
    </row>
    <row r="74" spans="3:13">
      <c r="C74" s="456"/>
      <c r="D74" s="457" t="s">
        <v>558</v>
      </c>
      <c r="F74" s="465">
        <f>+'[8]CIFRAS COMPAÑIA TEORICA Nielsen'!B12</f>
        <v>4.0842890177749037E-2</v>
      </c>
      <c r="G74" s="457"/>
      <c r="H74" s="457"/>
      <c r="I74" s="458"/>
      <c r="J74" s="457"/>
      <c r="K74" s="404"/>
      <c r="L74" s="404"/>
      <c r="M74" s="405"/>
    </row>
    <row r="75" spans="3:13">
      <c r="C75" s="1674" t="s">
        <v>559</v>
      </c>
      <c r="D75" s="1675"/>
      <c r="E75" s="1675"/>
      <c r="F75" s="1676" t="str">
        <f>+J15</f>
        <v>4.60%</v>
      </c>
      <c r="G75" s="457"/>
      <c r="H75" s="466"/>
      <c r="I75" s="458"/>
      <c r="J75" s="457"/>
      <c r="K75" s="404"/>
      <c r="L75" s="404"/>
      <c r="M75" s="405"/>
    </row>
    <row r="76" spans="3:13">
      <c r="C76" s="456"/>
      <c r="D76" s="457" t="s">
        <v>560</v>
      </c>
      <c r="E76" s="467" t="s">
        <v>561</v>
      </c>
      <c r="F76" s="468"/>
      <c r="G76" s="457"/>
      <c r="H76" s="457"/>
      <c r="I76" s="458"/>
      <c r="J76" s="457"/>
      <c r="K76" s="404"/>
      <c r="L76" s="404"/>
      <c r="M76" s="405"/>
    </row>
    <row r="77" spans="3:13">
      <c r="C77" s="456"/>
      <c r="D77" s="457" t="s">
        <v>562</v>
      </c>
      <c r="E77" s="469" t="s">
        <v>522</v>
      </c>
      <c r="F77" s="468"/>
      <c r="G77" s="457"/>
      <c r="H77" s="457"/>
      <c r="I77" s="458"/>
      <c r="J77" s="457"/>
      <c r="K77" s="404"/>
      <c r="L77" s="404"/>
      <c r="M77" s="405"/>
    </row>
    <row r="78" spans="3:13" ht="15.75" thickBot="1">
      <c r="C78" s="470"/>
      <c r="D78" s="471" t="s">
        <v>563</v>
      </c>
      <c r="E78" s="471" t="s">
        <v>564</v>
      </c>
      <c r="F78" s="472"/>
      <c r="G78" s="457"/>
      <c r="H78" s="457"/>
      <c r="I78" s="458"/>
      <c r="J78" s="473"/>
      <c r="K78" s="404"/>
      <c r="L78" s="404"/>
      <c r="M78" s="405"/>
    </row>
    <row r="79" spans="3:13">
      <c r="C79" s="456" t="s">
        <v>565</v>
      </c>
      <c r="D79" s="457"/>
      <c r="E79" s="457"/>
      <c r="F79" s="474">
        <f>+F70+F71*F75</f>
        <v>7.7955798160624867E-2</v>
      </c>
      <c r="G79" s="457"/>
      <c r="H79" s="458"/>
      <c r="I79" s="475" t="s">
        <v>566</v>
      </c>
      <c r="J79" s="476">
        <v>2.1000000000000001E-2</v>
      </c>
      <c r="K79" s="411"/>
      <c r="L79" s="126"/>
      <c r="M79" s="405"/>
    </row>
    <row r="80" spans="3:13" ht="15.75" thickBot="1">
      <c r="C80" s="456" t="s">
        <v>535</v>
      </c>
      <c r="D80" s="457"/>
      <c r="E80" s="461" t="s">
        <v>567</v>
      </c>
      <c r="F80" s="460">
        <f>+F36</f>
        <v>3.1664787523900603E-2</v>
      </c>
      <c r="G80" s="457"/>
      <c r="H80" s="458"/>
      <c r="I80" s="475" t="s">
        <v>568</v>
      </c>
      <c r="J80" s="477">
        <v>3.1E-2</v>
      </c>
      <c r="K80" s="411"/>
      <c r="L80" s="126"/>
      <c r="M80" s="405"/>
    </row>
    <row r="81" spans="3:13" ht="15.75" thickBot="1">
      <c r="C81" s="456" t="s">
        <v>569</v>
      </c>
      <c r="D81" s="457"/>
      <c r="E81" s="457"/>
      <c r="F81" s="478">
        <f>+F79+F80</f>
        <v>0.10962058568452547</v>
      </c>
      <c r="G81" s="457"/>
      <c r="H81" s="479" t="s">
        <v>715</v>
      </c>
      <c r="I81" s="480"/>
      <c r="J81" s="450"/>
      <c r="K81" s="404"/>
      <c r="L81" s="404"/>
      <c r="M81" s="405"/>
    </row>
    <row r="82" spans="3:13" ht="15.75" thickBot="1">
      <c r="C82" s="456" t="s">
        <v>570</v>
      </c>
      <c r="D82" s="457"/>
      <c r="E82" s="457"/>
      <c r="F82" s="481">
        <f>(1+J80)/(1+J79)-1</f>
        <v>9.7943192948091173E-3</v>
      </c>
      <c r="G82" s="457"/>
      <c r="H82" s="479" t="s">
        <v>571</v>
      </c>
      <c r="I82" s="480"/>
      <c r="J82" s="458"/>
      <c r="K82" s="126"/>
      <c r="L82" s="126"/>
      <c r="M82" s="415"/>
    </row>
    <row r="83" spans="3:13" ht="15.75" thickBot="1">
      <c r="C83" s="456" t="s">
        <v>572</v>
      </c>
      <c r="D83" s="457"/>
      <c r="E83" s="457"/>
      <c r="F83" s="482">
        <f>(1+F81)*(1+F82)-1</f>
        <v>0.12048856399681274</v>
      </c>
      <c r="G83" s="457"/>
      <c r="H83" s="483" t="s">
        <v>716</v>
      </c>
      <c r="I83" s="480"/>
      <c r="J83" s="457"/>
      <c r="K83" s="404"/>
      <c r="L83" s="404"/>
      <c r="M83" s="405"/>
    </row>
    <row r="84" spans="3:13">
      <c r="C84" s="456"/>
      <c r="D84" s="457"/>
      <c r="E84" s="457"/>
      <c r="F84" s="457"/>
      <c r="G84" s="457"/>
      <c r="H84" s="457"/>
      <c r="I84" s="458"/>
      <c r="J84" s="484"/>
      <c r="K84" s="404"/>
      <c r="L84" s="404"/>
      <c r="M84" s="405"/>
    </row>
    <row r="85" spans="3:13" ht="24" customHeight="1" thickBot="1">
      <c r="C85" s="1677" t="s">
        <v>573</v>
      </c>
      <c r="D85" s="1678"/>
      <c r="E85" s="1678"/>
      <c r="F85" s="1678"/>
      <c r="G85" s="1678"/>
      <c r="H85" s="1678"/>
      <c r="I85" s="1678"/>
      <c r="J85" s="1679"/>
      <c r="K85" s="485"/>
      <c r="L85" s="486"/>
      <c r="M85" s="487"/>
    </row>
    <row r="87" spans="3:13">
      <c r="C87" s="488"/>
      <c r="D87" s="488"/>
      <c r="E87" s="488"/>
      <c r="F87" s="488"/>
      <c r="G87" s="488"/>
      <c r="H87" s="488"/>
    </row>
    <row r="88" spans="3:13">
      <c r="C88" s="488"/>
      <c r="D88" s="488"/>
      <c r="E88" s="488"/>
      <c r="F88" s="488"/>
      <c r="G88" s="488"/>
      <c r="H88" s="488"/>
    </row>
  </sheetData>
  <mergeCells count="38">
    <mergeCell ref="C65:M65"/>
    <mergeCell ref="C85:J85"/>
    <mergeCell ref="F56:L56"/>
    <mergeCell ref="P56:V56"/>
    <mergeCell ref="I60:I61"/>
    <mergeCell ref="J60:J61"/>
    <mergeCell ref="K60:K61"/>
    <mergeCell ref="C63:F63"/>
    <mergeCell ref="F52:G52"/>
    <mergeCell ref="P52:Q52"/>
    <mergeCell ref="F53:G53"/>
    <mergeCell ref="P53:Q53"/>
    <mergeCell ref="F54:H54"/>
    <mergeCell ref="P54:R54"/>
    <mergeCell ref="F49:G49"/>
    <mergeCell ref="P49:Q49"/>
    <mergeCell ref="F50:G50"/>
    <mergeCell ref="P50:Q50"/>
    <mergeCell ref="F51:G51"/>
    <mergeCell ref="P51:Q51"/>
    <mergeCell ref="F46:G46"/>
    <mergeCell ref="P46:Q46"/>
    <mergeCell ref="F47:G47"/>
    <mergeCell ref="P47:Q47"/>
    <mergeCell ref="F48:G48"/>
    <mergeCell ref="P48:Q48"/>
    <mergeCell ref="F43:G43"/>
    <mergeCell ref="P43:Q43"/>
    <mergeCell ref="F44:G44"/>
    <mergeCell ref="P44:Q44"/>
    <mergeCell ref="F45:G45"/>
    <mergeCell ref="P45:Q45"/>
    <mergeCell ref="B1:M1"/>
    <mergeCell ref="I5:J5"/>
    <mergeCell ref="K5:L5"/>
    <mergeCell ref="X10:Y10"/>
    <mergeCell ref="I12:J12"/>
    <mergeCell ref="C19:L19"/>
  </mergeCell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63"/>
  <sheetViews>
    <sheetView showGridLines="0" zoomScale="90" zoomScaleNormal="90" workbookViewId="0">
      <pane xSplit="1" ySplit="2" topLeftCell="B190" activePane="bottomRight" state="frozen"/>
      <selection pane="topRight" activeCell="B1" sqref="B1"/>
      <selection pane="bottomLeft" activeCell="A3" sqref="A3"/>
      <selection pane="bottomRight" activeCell="A33" sqref="A33"/>
    </sheetView>
  </sheetViews>
  <sheetFormatPr baseColWidth="10" defaultColWidth="11.42578125" defaultRowHeight="15"/>
  <cols>
    <col min="1" max="1" width="57.5703125" style="16" customWidth="1"/>
    <col min="2" max="2" width="14.28515625" style="64" customWidth="1"/>
    <col min="3" max="4" width="14.28515625" style="42" customWidth="1"/>
    <col min="5" max="5" width="16.42578125" style="42" customWidth="1"/>
    <col min="6" max="6" width="16.42578125" style="42" bestFit="1" customWidth="1"/>
    <col min="7" max="8" width="14.28515625" style="41" customWidth="1"/>
    <col min="9" max="9" width="16.42578125" style="719" bestFit="1" customWidth="1"/>
    <col min="10" max="10" width="16.42578125" style="41" bestFit="1" customWidth="1"/>
    <col min="11" max="12" width="15.28515625" style="16" bestFit="1" customWidth="1"/>
    <col min="13" max="16384" width="11.42578125" style="16"/>
  </cols>
  <sheetData>
    <row r="1" spans="1:12" s="86" customFormat="1" ht="13.5" thickBot="1">
      <c r="A1" s="364" t="s">
        <v>109</v>
      </c>
      <c r="B1" s="88"/>
      <c r="C1" s="89"/>
      <c r="D1" s="90"/>
      <c r="E1" s="89"/>
      <c r="F1" s="89"/>
      <c r="G1" s="89"/>
      <c r="H1" s="89"/>
      <c r="I1" s="716"/>
      <c r="J1" s="89"/>
    </row>
    <row r="2" spans="1:12" s="86" customFormat="1" ht="14.25" thickTop="1" thickBot="1">
      <c r="A2" s="140"/>
      <c r="B2" s="141">
        <v>2006</v>
      </c>
      <c r="C2" s="141">
        <v>2007</v>
      </c>
      <c r="D2" s="141">
        <v>2008</v>
      </c>
      <c r="E2" s="141">
        <v>2009</v>
      </c>
      <c r="F2" s="141">
        <v>2010</v>
      </c>
      <c r="G2" s="690">
        <v>2011</v>
      </c>
      <c r="H2" s="142">
        <v>2012</v>
      </c>
      <c r="I2" s="717">
        <v>2013</v>
      </c>
      <c r="J2" s="142">
        <v>2014</v>
      </c>
      <c r="K2" s="574" t="s">
        <v>926</v>
      </c>
      <c r="L2" s="574" t="s">
        <v>927</v>
      </c>
    </row>
    <row r="3" spans="1:12" s="86" customFormat="1" ht="12.75">
      <c r="A3" s="143" t="s">
        <v>717</v>
      </c>
      <c r="B3" s="314">
        <v>33.252000000000002</v>
      </c>
      <c r="C3" s="314">
        <v>99.873999999999995</v>
      </c>
      <c r="D3" s="315">
        <v>94.608000000000004</v>
      </c>
      <c r="E3" s="315">
        <v>59.064999999999998</v>
      </c>
      <c r="F3" s="315">
        <v>0</v>
      </c>
      <c r="G3" s="572">
        <v>51.4</v>
      </c>
      <c r="H3" s="620">
        <v>39.628999999999998</v>
      </c>
      <c r="I3" s="620">
        <v>28</v>
      </c>
      <c r="J3" s="620">
        <v>23.427</v>
      </c>
      <c r="K3" s="500">
        <f>+I3/$I$106</f>
        <v>3.7519429704668491E-4</v>
      </c>
      <c r="L3" s="500">
        <f>+J3/$J$106</f>
        <v>2.4194625546110248E-4</v>
      </c>
    </row>
    <row r="4" spans="1:12" s="86" customFormat="1" ht="12.75">
      <c r="A4" s="145" t="s">
        <v>718</v>
      </c>
      <c r="B4" s="314">
        <v>471.44400000000002</v>
      </c>
      <c r="C4" s="314">
        <v>1951.27</v>
      </c>
      <c r="D4" s="315">
        <v>383.88600000000002</v>
      </c>
      <c r="E4" s="315">
        <v>1121.806</v>
      </c>
      <c r="F4" s="315">
        <v>1187.9349999999999</v>
      </c>
      <c r="G4" s="572">
        <v>703.62400000000002</v>
      </c>
      <c r="H4" s="621">
        <v>0</v>
      </c>
      <c r="I4" s="621">
        <v>740</v>
      </c>
      <c r="J4" s="621">
        <v>754.45899999999995</v>
      </c>
      <c r="K4" s="500">
        <f>+I4/$I$106</f>
        <v>9.9158492790909578E-3</v>
      </c>
      <c r="L4" s="500">
        <f t="shared" ref="L4:L67" si="0">+J4/$J$106</f>
        <v>7.7918013381537508E-3</v>
      </c>
    </row>
    <row r="5" spans="1:12" s="86" customFormat="1" ht="12.75">
      <c r="A5" s="145" t="s">
        <v>857</v>
      </c>
      <c r="B5" s="314">
        <v>0</v>
      </c>
      <c r="C5" s="314">
        <v>0</v>
      </c>
      <c r="D5" s="315">
        <v>0</v>
      </c>
      <c r="E5" s="315">
        <v>0</v>
      </c>
      <c r="F5" s="315">
        <v>0</v>
      </c>
      <c r="G5" s="572">
        <v>0</v>
      </c>
      <c r="H5" s="621">
        <v>0</v>
      </c>
      <c r="I5" s="621">
        <v>0</v>
      </c>
      <c r="J5" s="621">
        <v>0</v>
      </c>
      <c r="K5" s="500">
        <f t="shared" ref="K5:K68" si="1">+I5/$I$106</f>
        <v>0</v>
      </c>
      <c r="L5" s="500">
        <f t="shared" si="0"/>
        <v>0</v>
      </c>
    </row>
    <row r="6" spans="1:12" s="86" customFormat="1" ht="12.75">
      <c r="A6" s="145" t="s">
        <v>719</v>
      </c>
      <c r="B6" s="314">
        <v>6323.7420000000002</v>
      </c>
      <c r="C6" s="314">
        <v>4174.5240000000003</v>
      </c>
      <c r="D6" s="315">
        <v>9969.9419999999991</v>
      </c>
      <c r="E6" s="315">
        <v>7719.7860000000001</v>
      </c>
      <c r="F6" s="315">
        <v>10105.749</v>
      </c>
      <c r="G6" s="572">
        <v>6875.6189999999997</v>
      </c>
      <c r="H6" s="621">
        <v>7714.4740000000002</v>
      </c>
      <c r="I6" s="621">
        <v>11062</v>
      </c>
      <c r="J6" s="621">
        <v>6709.92</v>
      </c>
      <c r="K6" s="500">
        <f t="shared" si="1"/>
        <v>0.14822854692608672</v>
      </c>
      <c r="L6" s="500">
        <f t="shared" si="0"/>
        <v>6.9297819543414046E-2</v>
      </c>
    </row>
    <row r="7" spans="1:12" s="86" customFormat="1" ht="12.75">
      <c r="A7" s="145" t="s">
        <v>720</v>
      </c>
      <c r="B7" s="314">
        <v>2.2480000000000002</v>
      </c>
      <c r="C7" s="314">
        <v>1.0669999999999999</v>
      </c>
      <c r="D7" s="315">
        <v>1.51</v>
      </c>
      <c r="E7" s="315">
        <v>2.431</v>
      </c>
      <c r="F7" s="315">
        <v>3.0819999999999999</v>
      </c>
      <c r="G7" s="572">
        <v>6.6</v>
      </c>
      <c r="H7" s="621">
        <v>6.8</v>
      </c>
      <c r="I7" s="621">
        <v>2</v>
      </c>
      <c r="J7" s="621">
        <v>5.859</v>
      </c>
      <c r="K7" s="500">
        <f t="shared" si="1"/>
        <v>2.6799592646191777E-5</v>
      </c>
      <c r="L7" s="500">
        <f t="shared" si="0"/>
        <v>6.0509801116088255E-5</v>
      </c>
    </row>
    <row r="8" spans="1:12" s="86" customFormat="1" ht="12.75">
      <c r="A8" s="147" t="s">
        <v>114</v>
      </c>
      <c r="B8" s="316">
        <v>6830.6859999999997</v>
      </c>
      <c r="C8" s="316">
        <v>6226.7349999999997</v>
      </c>
      <c r="D8" s="317">
        <v>10449.946</v>
      </c>
      <c r="E8" s="317">
        <v>8903.0879999999997</v>
      </c>
      <c r="F8" s="317">
        <v>11296.766</v>
      </c>
      <c r="G8" s="573">
        <v>7637.2430000000004</v>
      </c>
      <c r="H8" s="622">
        <v>7760.9030000000002</v>
      </c>
      <c r="I8" s="622">
        <f>+SUM(I3:I7)</f>
        <v>11832</v>
      </c>
      <c r="J8" s="622">
        <v>7493.665</v>
      </c>
      <c r="K8" s="500">
        <f t="shared" si="1"/>
        <v>0.15854639009487057</v>
      </c>
      <c r="L8" s="500">
        <f t="shared" si="0"/>
        <v>7.7392076938144982E-2</v>
      </c>
    </row>
    <row r="9" spans="1:12" s="86" customFormat="1" ht="12.75">
      <c r="A9" s="147" t="s">
        <v>115</v>
      </c>
      <c r="B9" s="316">
        <v>3864.5070000000001</v>
      </c>
      <c r="C9" s="316">
        <v>4493.3069999999998</v>
      </c>
      <c r="D9" s="317">
        <v>0</v>
      </c>
      <c r="E9" s="317">
        <v>0</v>
      </c>
      <c r="F9" s="317">
        <v>0</v>
      </c>
      <c r="G9" s="573">
        <v>0</v>
      </c>
      <c r="H9" s="622">
        <v>0</v>
      </c>
      <c r="I9" s="622">
        <v>0</v>
      </c>
      <c r="J9" s="622">
        <v>0</v>
      </c>
      <c r="K9" s="500">
        <f t="shared" si="1"/>
        <v>0</v>
      </c>
      <c r="L9" s="500">
        <f t="shared" si="0"/>
        <v>0</v>
      </c>
    </row>
    <row r="10" spans="1:12" s="86" customFormat="1" ht="12.75">
      <c r="A10" s="145" t="s">
        <v>721</v>
      </c>
      <c r="B10" s="314">
        <v>13370.398999999999</v>
      </c>
      <c r="C10" s="314">
        <v>14158.558999999999</v>
      </c>
      <c r="D10" s="315">
        <v>14877.136</v>
      </c>
      <c r="E10" s="315">
        <v>16126.338</v>
      </c>
      <c r="F10" s="315">
        <v>18443.396000000001</v>
      </c>
      <c r="G10" s="572">
        <v>17205.099999999999</v>
      </c>
      <c r="H10" s="621">
        <v>19732.951000000001</v>
      </c>
      <c r="I10" s="621">
        <v>22303</v>
      </c>
      <c r="J10" s="621">
        <v>28630.945</v>
      </c>
      <c r="K10" s="500">
        <f t="shared" si="1"/>
        <v>0.2988556573940076</v>
      </c>
      <c r="L10" s="500">
        <f t="shared" si="0"/>
        <v>0.29569086665227196</v>
      </c>
    </row>
    <row r="11" spans="1:12" s="86" customFormat="1" ht="12.75">
      <c r="A11" s="145" t="s">
        <v>117</v>
      </c>
      <c r="B11" s="314">
        <v>1905.674</v>
      </c>
      <c r="C11" s="314">
        <v>3423.203</v>
      </c>
      <c r="D11" s="315">
        <v>9528.5409999999993</v>
      </c>
      <c r="E11" s="315">
        <v>12925.781000000001</v>
      </c>
      <c r="F11" s="315">
        <v>13234.896000000001</v>
      </c>
      <c r="G11" s="572">
        <v>17783.981</v>
      </c>
      <c r="H11" s="621">
        <v>17285.263999999999</v>
      </c>
      <c r="I11" s="621">
        <v>25147</v>
      </c>
      <c r="J11" s="621">
        <v>41340.127</v>
      </c>
      <c r="K11" s="500">
        <f t="shared" si="1"/>
        <v>0.33696467813689229</v>
      </c>
      <c r="L11" s="500">
        <f t="shared" si="0"/>
        <v>0.42694706654443254</v>
      </c>
    </row>
    <row r="12" spans="1:12" s="86" customFormat="1" ht="12.75">
      <c r="A12" s="145" t="s">
        <v>118</v>
      </c>
      <c r="B12" s="314">
        <v>0</v>
      </c>
      <c r="C12" s="314">
        <v>0</v>
      </c>
      <c r="D12" s="315">
        <v>0</v>
      </c>
      <c r="E12" s="315">
        <v>0</v>
      </c>
      <c r="F12" s="315">
        <v>0</v>
      </c>
      <c r="G12" s="572">
        <v>0</v>
      </c>
      <c r="H12" s="621">
        <v>0</v>
      </c>
      <c r="I12" s="621">
        <v>0</v>
      </c>
      <c r="J12" s="621">
        <v>0</v>
      </c>
      <c r="K12" s="500">
        <f t="shared" si="1"/>
        <v>0</v>
      </c>
      <c r="L12" s="500">
        <f t="shared" si="0"/>
        <v>0</v>
      </c>
    </row>
    <row r="13" spans="1:12" s="86" customFormat="1" ht="12.75">
      <c r="A13" s="145" t="s">
        <v>119</v>
      </c>
      <c r="B13" s="314">
        <v>34003.432999999997</v>
      </c>
      <c r="C13" s="314">
        <v>34266.288999999997</v>
      </c>
      <c r="D13" s="315">
        <v>49609.06</v>
      </c>
      <c r="E13" s="315">
        <v>0</v>
      </c>
      <c r="F13" s="315">
        <v>0</v>
      </c>
      <c r="G13" s="572">
        <v>0</v>
      </c>
      <c r="H13" s="621">
        <v>0</v>
      </c>
      <c r="I13" s="621">
        <v>0</v>
      </c>
      <c r="J13" s="621">
        <v>0</v>
      </c>
      <c r="K13" s="500">
        <f t="shared" si="1"/>
        <v>0</v>
      </c>
      <c r="L13" s="500">
        <f t="shared" si="0"/>
        <v>0</v>
      </c>
    </row>
    <row r="14" spans="1:12" s="86" customFormat="1" ht="12.75">
      <c r="A14" s="145" t="s">
        <v>120</v>
      </c>
      <c r="B14" s="314">
        <v>0</v>
      </c>
      <c r="C14" s="314">
        <v>0</v>
      </c>
      <c r="D14" s="315">
        <v>0</v>
      </c>
      <c r="E14" s="315">
        <v>0</v>
      </c>
      <c r="F14" s="315">
        <v>0</v>
      </c>
      <c r="G14" s="572">
        <v>0</v>
      </c>
      <c r="H14" s="621">
        <v>0</v>
      </c>
      <c r="I14" s="621">
        <v>0</v>
      </c>
      <c r="J14" s="621">
        <v>0</v>
      </c>
      <c r="K14" s="500">
        <f t="shared" si="1"/>
        <v>0</v>
      </c>
      <c r="L14" s="500">
        <f t="shared" si="0"/>
        <v>0</v>
      </c>
    </row>
    <row r="15" spans="1:12" s="86" customFormat="1" ht="12.75">
      <c r="A15" s="145" t="s">
        <v>121</v>
      </c>
      <c r="B15" s="314">
        <v>0</v>
      </c>
      <c r="C15" s="314">
        <v>0</v>
      </c>
      <c r="D15" s="315">
        <v>0</v>
      </c>
      <c r="E15" s="315">
        <v>0</v>
      </c>
      <c r="F15" s="315">
        <v>0</v>
      </c>
      <c r="G15" s="572">
        <v>0</v>
      </c>
      <c r="H15" s="621">
        <v>0</v>
      </c>
      <c r="I15" s="621">
        <v>0</v>
      </c>
      <c r="J15" s="621">
        <v>0</v>
      </c>
      <c r="K15" s="500">
        <f t="shared" si="1"/>
        <v>0</v>
      </c>
      <c r="L15" s="500">
        <f t="shared" si="0"/>
        <v>0</v>
      </c>
    </row>
    <row r="16" spans="1:12" s="86" customFormat="1" ht="12.75">
      <c r="A16" s="145" t="s">
        <v>122</v>
      </c>
      <c r="B16" s="314">
        <v>0</v>
      </c>
      <c r="C16" s="314">
        <v>0</v>
      </c>
      <c r="D16" s="315">
        <v>0</v>
      </c>
      <c r="E16" s="315">
        <v>0</v>
      </c>
      <c r="F16" s="315">
        <v>0</v>
      </c>
      <c r="G16" s="572">
        <v>0</v>
      </c>
      <c r="H16" s="621">
        <v>0</v>
      </c>
      <c r="I16" s="621">
        <v>0</v>
      </c>
      <c r="J16" s="621">
        <v>0</v>
      </c>
      <c r="K16" s="500">
        <f t="shared" si="1"/>
        <v>0</v>
      </c>
      <c r="L16" s="500">
        <f t="shared" si="0"/>
        <v>0</v>
      </c>
    </row>
    <row r="17" spans="1:12" s="86" customFormat="1" ht="12.75">
      <c r="A17" s="145" t="s">
        <v>123</v>
      </c>
      <c r="B17" s="314">
        <v>212.607</v>
      </c>
      <c r="C17" s="314">
        <v>398.00599999999997</v>
      </c>
      <c r="D17" s="315">
        <v>110.18</v>
      </c>
      <c r="E17" s="315">
        <v>98.418000000000006</v>
      </c>
      <c r="F17" s="315">
        <v>116.896</v>
      </c>
      <c r="G17" s="572">
        <v>189.88300000000001</v>
      </c>
      <c r="H17" s="621">
        <v>148.19399999999999</v>
      </c>
      <c r="I17" s="621">
        <v>198</v>
      </c>
      <c r="J17" s="621">
        <v>135.34800000000001</v>
      </c>
      <c r="K17" s="500">
        <f t="shared" si="1"/>
        <v>2.6531596719729859E-3</v>
      </c>
      <c r="L17" s="500">
        <f t="shared" si="0"/>
        <v>1.3978290768834807E-3</v>
      </c>
    </row>
    <row r="18" spans="1:12" s="86" customFormat="1" ht="12.75">
      <c r="A18" s="145" t="s">
        <v>124</v>
      </c>
      <c r="B18" s="314">
        <v>0</v>
      </c>
      <c r="C18" s="314">
        <v>0</v>
      </c>
      <c r="D18" s="315">
        <v>0</v>
      </c>
      <c r="E18" s="315">
        <v>0</v>
      </c>
      <c r="F18" s="315">
        <v>0</v>
      </c>
      <c r="G18" s="572">
        <v>0</v>
      </c>
      <c r="H18" s="621">
        <v>0</v>
      </c>
      <c r="I18" s="621">
        <v>0</v>
      </c>
      <c r="J18" s="621">
        <v>0</v>
      </c>
      <c r="K18" s="500">
        <f t="shared" si="1"/>
        <v>0</v>
      </c>
      <c r="L18" s="500">
        <f t="shared" si="0"/>
        <v>0</v>
      </c>
    </row>
    <row r="19" spans="1:12" s="86" customFormat="1" ht="12.75">
      <c r="A19" s="145" t="s">
        <v>125</v>
      </c>
      <c r="B19" s="314">
        <v>3.4529999999999998</v>
      </c>
      <c r="C19" s="314">
        <v>3.4529999999999998</v>
      </c>
      <c r="D19" s="315">
        <v>0.45300000000000001</v>
      </c>
      <c r="E19" s="315">
        <v>0</v>
      </c>
      <c r="F19" s="315">
        <v>0</v>
      </c>
      <c r="G19" s="572">
        <v>0</v>
      </c>
      <c r="H19" s="621">
        <v>0</v>
      </c>
      <c r="I19" s="621">
        <v>0</v>
      </c>
      <c r="J19" s="621">
        <v>17.931999999999999</v>
      </c>
      <c r="K19" s="500">
        <f t="shared" si="1"/>
        <v>0</v>
      </c>
      <c r="L19" s="500">
        <f t="shared" si="0"/>
        <v>1.8519572514314635E-4</v>
      </c>
    </row>
    <row r="20" spans="1:12" s="86" customFormat="1" ht="12.75">
      <c r="A20" s="145" t="s">
        <v>126</v>
      </c>
      <c r="B20" s="314">
        <v>0</v>
      </c>
      <c r="C20" s="314">
        <v>0</v>
      </c>
      <c r="D20" s="315">
        <v>0</v>
      </c>
      <c r="E20" s="315">
        <v>0</v>
      </c>
      <c r="F20" s="315">
        <v>0</v>
      </c>
      <c r="G20" s="572">
        <v>0</v>
      </c>
      <c r="H20" s="621">
        <v>0</v>
      </c>
      <c r="I20" s="621">
        <v>0</v>
      </c>
      <c r="J20" s="621">
        <v>0</v>
      </c>
      <c r="K20" s="500">
        <f t="shared" si="1"/>
        <v>0</v>
      </c>
      <c r="L20" s="500">
        <f t="shared" si="0"/>
        <v>0</v>
      </c>
    </row>
    <row r="21" spans="1:12" s="86" customFormat="1" ht="12.75">
      <c r="A21" s="145" t="s">
        <v>127</v>
      </c>
      <c r="B21" s="314">
        <v>40.634999999999998</v>
      </c>
      <c r="C21" s="314">
        <v>60.927999999999997</v>
      </c>
      <c r="D21" s="315">
        <v>0</v>
      </c>
      <c r="E21" s="315">
        <v>0</v>
      </c>
      <c r="F21" s="315">
        <v>0</v>
      </c>
      <c r="G21" s="572">
        <v>0</v>
      </c>
      <c r="H21" s="621">
        <v>0</v>
      </c>
      <c r="I21" s="621">
        <v>0</v>
      </c>
      <c r="J21" s="621">
        <v>0</v>
      </c>
      <c r="K21" s="500">
        <f t="shared" si="1"/>
        <v>0</v>
      </c>
      <c r="L21" s="500">
        <f t="shared" si="0"/>
        <v>0</v>
      </c>
    </row>
    <row r="22" spans="1:12" s="86" customFormat="1" ht="12.75">
      <c r="A22" s="145" t="s">
        <v>128</v>
      </c>
      <c r="B22" s="314">
        <v>0</v>
      </c>
      <c r="C22" s="314">
        <v>0</v>
      </c>
      <c r="D22" s="315">
        <v>0</v>
      </c>
      <c r="E22" s="315">
        <v>0</v>
      </c>
      <c r="F22" s="315">
        <v>0</v>
      </c>
      <c r="G22" s="572">
        <v>0</v>
      </c>
      <c r="H22" s="621">
        <v>0</v>
      </c>
      <c r="I22" s="621">
        <v>0</v>
      </c>
      <c r="J22" s="621">
        <v>0</v>
      </c>
      <c r="K22" s="500">
        <f t="shared" si="1"/>
        <v>0</v>
      </c>
      <c r="L22" s="500">
        <f t="shared" si="0"/>
        <v>0</v>
      </c>
    </row>
    <row r="23" spans="1:12" s="86" customFormat="1" ht="12.75">
      <c r="A23" s="145" t="s">
        <v>129</v>
      </c>
      <c r="B23" s="314">
        <v>1388.278</v>
      </c>
      <c r="C23" s="314">
        <v>84.742999999999995</v>
      </c>
      <c r="D23" s="315">
        <v>171.36</v>
      </c>
      <c r="E23" s="315">
        <v>0.22600000000000001</v>
      </c>
      <c r="F23" s="315">
        <v>30.097999999999999</v>
      </c>
      <c r="G23" s="572">
        <v>52.625999999999998</v>
      </c>
      <c r="H23" s="621">
        <v>843.50900000000001</v>
      </c>
      <c r="I23" s="621">
        <v>0</v>
      </c>
      <c r="J23" s="621">
        <v>0</v>
      </c>
      <c r="K23" s="500">
        <f t="shared" si="1"/>
        <v>0</v>
      </c>
      <c r="L23" s="500">
        <f t="shared" si="0"/>
        <v>0</v>
      </c>
    </row>
    <row r="24" spans="1:12" s="86" customFormat="1" ht="12.75">
      <c r="A24" s="145" t="s">
        <v>130</v>
      </c>
      <c r="B24" s="314">
        <v>0</v>
      </c>
      <c r="C24" s="314">
        <v>0</v>
      </c>
      <c r="D24" s="315">
        <v>0</v>
      </c>
      <c r="E24" s="315">
        <v>0</v>
      </c>
      <c r="F24" s="315">
        <v>0</v>
      </c>
      <c r="G24" s="572">
        <v>0</v>
      </c>
      <c r="H24" s="621">
        <v>0</v>
      </c>
      <c r="I24" s="621">
        <v>0</v>
      </c>
      <c r="J24" s="621">
        <v>0</v>
      </c>
      <c r="K24" s="500">
        <f t="shared" si="1"/>
        <v>0</v>
      </c>
      <c r="L24" s="500">
        <f t="shared" si="0"/>
        <v>0</v>
      </c>
    </row>
    <row r="25" spans="1:12" s="86" customFormat="1" ht="12.75">
      <c r="A25" s="145" t="s">
        <v>131</v>
      </c>
      <c r="B25" s="314">
        <v>37.01</v>
      </c>
      <c r="C25" s="314">
        <v>59.697000000000003</v>
      </c>
      <c r="D25" s="315">
        <v>48.567999999999998</v>
      </c>
      <c r="E25" s="315">
        <v>46.131</v>
      </c>
      <c r="F25" s="315">
        <v>55.244</v>
      </c>
      <c r="G25" s="572">
        <v>76.893000000000001</v>
      </c>
      <c r="H25" s="621">
        <v>73.334999999999994</v>
      </c>
      <c r="I25" s="621">
        <v>96</v>
      </c>
      <c r="J25" s="621">
        <v>109.55500000000001</v>
      </c>
      <c r="K25" s="500">
        <f t="shared" si="1"/>
        <v>1.2863804470172053E-3</v>
      </c>
      <c r="L25" s="500">
        <f t="shared" si="0"/>
        <v>1.1314475612345194E-3</v>
      </c>
    </row>
    <row r="26" spans="1:12" s="86" customFormat="1" ht="12.75">
      <c r="A26" s="145" t="s">
        <v>132</v>
      </c>
      <c r="B26" s="314">
        <v>0</v>
      </c>
      <c r="C26" s="314">
        <v>0</v>
      </c>
      <c r="D26" s="315">
        <v>0</v>
      </c>
      <c r="E26" s="315">
        <v>0</v>
      </c>
      <c r="F26" s="315">
        <v>0</v>
      </c>
      <c r="G26" s="572">
        <v>0</v>
      </c>
      <c r="H26" s="621">
        <v>0</v>
      </c>
      <c r="I26" s="621">
        <v>0</v>
      </c>
      <c r="J26" s="621">
        <v>0</v>
      </c>
      <c r="K26" s="500">
        <f t="shared" si="1"/>
        <v>0</v>
      </c>
      <c r="L26" s="500">
        <f t="shared" si="0"/>
        <v>0</v>
      </c>
    </row>
    <row r="27" spans="1:12" s="86" customFormat="1" ht="12.75">
      <c r="A27" s="145" t="s">
        <v>133</v>
      </c>
      <c r="B27" s="314">
        <v>119.899</v>
      </c>
      <c r="C27" s="314">
        <v>162.35900000000001</v>
      </c>
      <c r="D27" s="315">
        <v>19.077999999999999</v>
      </c>
      <c r="E27" s="315">
        <v>83.838999999999999</v>
      </c>
      <c r="F27" s="315">
        <v>600.024</v>
      </c>
      <c r="G27" s="572">
        <v>750.52700000000004</v>
      </c>
      <c r="H27" s="621">
        <v>825.56799999999998</v>
      </c>
      <c r="I27" s="621">
        <v>2803</v>
      </c>
      <c r="J27" s="621">
        <v>8420.9030000000002</v>
      </c>
      <c r="K27" s="500">
        <f t="shared" si="1"/>
        <v>3.7559629093637775E-2</v>
      </c>
      <c r="L27" s="500">
        <f t="shared" si="0"/>
        <v>8.6968282257701132E-2</v>
      </c>
    </row>
    <row r="28" spans="1:12" s="86" customFormat="1" ht="12.75">
      <c r="A28" s="145" t="s">
        <v>134</v>
      </c>
      <c r="B28" s="314">
        <v>0</v>
      </c>
      <c r="C28" s="314">
        <v>0</v>
      </c>
      <c r="D28" s="315">
        <v>0</v>
      </c>
      <c r="E28" s="315">
        <v>0</v>
      </c>
      <c r="F28" s="315">
        <v>0</v>
      </c>
      <c r="G28" s="572">
        <v>0</v>
      </c>
      <c r="H28" s="621">
        <v>0</v>
      </c>
      <c r="I28" s="621">
        <v>0</v>
      </c>
      <c r="J28" s="621">
        <v>0</v>
      </c>
      <c r="K28" s="500">
        <f t="shared" si="1"/>
        <v>0</v>
      </c>
      <c r="L28" s="500">
        <f t="shared" si="0"/>
        <v>0</v>
      </c>
    </row>
    <row r="29" spans="1:12" s="86" customFormat="1" ht="12.75">
      <c r="A29" s="145" t="s">
        <v>135</v>
      </c>
      <c r="B29" s="314">
        <v>427.35399999999998</v>
      </c>
      <c r="C29" s="314">
        <v>425.37700000000001</v>
      </c>
      <c r="D29" s="315">
        <v>423.40100000000001</v>
      </c>
      <c r="E29" s="315">
        <v>421.42399999999998</v>
      </c>
      <c r="F29" s="315">
        <v>460.67099999999999</v>
      </c>
      <c r="G29" s="572">
        <v>405.11900000000003</v>
      </c>
      <c r="H29" s="621">
        <v>405.11900000000003</v>
      </c>
      <c r="I29" s="621">
        <v>0</v>
      </c>
      <c r="J29" s="621">
        <v>0</v>
      </c>
      <c r="K29" s="500">
        <f t="shared" si="1"/>
        <v>0</v>
      </c>
      <c r="L29" s="500">
        <f t="shared" si="0"/>
        <v>0</v>
      </c>
    </row>
    <row r="30" spans="1:12" s="86" customFormat="1" ht="12.75">
      <c r="A30" s="145" t="s">
        <v>722</v>
      </c>
      <c r="B30" s="314">
        <v>491.435</v>
      </c>
      <c r="C30" s="314">
        <v>496.19499999999999</v>
      </c>
      <c r="D30" s="315">
        <v>519.79499999999996</v>
      </c>
      <c r="E30" s="315">
        <v>476.23200000000003</v>
      </c>
      <c r="F30" s="315">
        <v>462.40600000000001</v>
      </c>
      <c r="G30" s="572">
        <v>405.11900000000003</v>
      </c>
      <c r="H30" s="621">
        <v>405.11900000000003</v>
      </c>
      <c r="I30" s="621">
        <v>0</v>
      </c>
      <c r="J30" s="621">
        <v>0</v>
      </c>
      <c r="K30" s="500">
        <f t="shared" si="1"/>
        <v>0</v>
      </c>
      <c r="L30" s="500">
        <f t="shared" si="0"/>
        <v>0</v>
      </c>
    </row>
    <row r="31" spans="1:12" s="86" customFormat="1" ht="12.75">
      <c r="A31" s="147" t="s">
        <v>137</v>
      </c>
      <c r="B31" s="316">
        <v>51017.307000000001</v>
      </c>
      <c r="C31" s="316">
        <v>52546.419000000002</v>
      </c>
      <c r="D31" s="317">
        <v>74267.982000000004</v>
      </c>
      <c r="E31" s="317">
        <v>29225.924999999999</v>
      </c>
      <c r="F31" s="317">
        <v>32478.819</v>
      </c>
      <c r="G31" s="573">
        <v>36059.01</v>
      </c>
      <c r="H31" s="622">
        <v>38908.821000000004</v>
      </c>
      <c r="I31" s="622">
        <f>+SUM(I10:I30)</f>
        <v>50547</v>
      </c>
      <c r="J31" s="622">
        <v>78654.81</v>
      </c>
      <c r="K31" s="500">
        <f t="shared" si="1"/>
        <v>0.67731950474352787</v>
      </c>
      <c r="L31" s="500">
        <f t="shared" si="0"/>
        <v>0.81232068781766675</v>
      </c>
    </row>
    <row r="32" spans="1:12" s="86" customFormat="1" ht="12.75">
      <c r="A32" s="145" t="s">
        <v>138</v>
      </c>
      <c r="B32" s="314">
        <v>0</v>
      </c>
      <c r="C32" s="314">
        <v>0</v>
      </c>
      <c r="D32" s="315">
        <v>0</v>
      </c>
      <c r="E32" s="315">
        <v>0</v>
      </c>
      <c r="F32" s="315">
        <v>0</v>
      </c>
      <c r="G32" s="572">
        <v>0</v>
      </c>
      <c r="H32" s="621">
        <v>0</v>
      </c>
      <c r="I32" s="621">
        <v>0</v>
      </c>
      <c r="J32" s="621">
        <v>0</v>
      </c>
      <c r="K32" s="500">
        <f t="shared" si="1"/>
        <v>0</v>
      </c>
      <c r="L32" s="500">
        <f t="shared" si="0"/>
        <v>0</v>
      </c>
    </row>
    <row r="33" spans="1:12" s="86" customFormat="1" ht="12.75">
      <c r="A33" s="145" t="s">
        <v>139</v>
      </c>
      <c r="B33" s="314">
        <v>0</v>
      </c>
      <c r="C33" s="314">
        <v>0</v>
      </c>
      <c r="D33" s="315">
        <v>0</v>
      </c>
      <c r="E33" s="315">
        <v>0</v>
      </c>
      <c r="F33" s="315">
        <v>0</v>
      </c>
      <c r="G33" s="572">
        <v>0</v>
      </c>
      <c r="H33" s="621">
        <v>0</v>
      </c>
      <c r="I33" s="621">
        <v>0</v>
      </c>
      <c r="J33" s="621">
        <v>0</v>
      </c>
      <c r="K33" s="500">
        <f t="shared" si="1"/>
        <v>0</v>
      </c>
      <c r="L33" s="500">
        <f t="shared" si="0"/>
        <v>0</v>
      </c>
    </row>
    <row r="34" spans="1:12" s="86" customFormat="1" ht="12.75">
      <c r="A34" s="145" t="s">
        <v>723</v>
      </c>
      <c r="B34" s="314">
        <v>0</v>
      </c>
      <c r="C34" s="314">
        <v>0</v>
      </c>
      <c r="D34" s="315">
        <v>0</v>
      </c>
      <c r="E34" s="315">
        <v>0</v>
      </c>
      <c r="F34" s="315">
        <v>0</v>
      </c>
      <c r="G34" s="572">
        <v>0</v>
      </c>
      <c r="H34" s="621">
        <v>0</v>
      </c>
      <c r="I34" s="621">
        <v>0</v>
      </c>
      <c r="J34" s="621">
        <v>0</v>
      </c>
      <c r="K34" s="500">
        <f t="shared" si="1"/>
        <v>0</v>
      </c>
      <c r="L34" s="500">
        <f t="shared" si="0"/>
        <v>0</v>
      </c>
    </row>
    <row r="35" spans="1:12" s="86" customFormat="1" ht="12.75">
      <c r="A35" s="145" t="s">
        <v>724</v>
      </c>
      <c r="B35" s="314">
        <v>0</v>
      </c>
      <c r="C35" s="314">
        <v>0</v>
      </c>
      <c r="D35" s="315">
        <v>0</v>
      </c>
      <c r="E35" s="315">
        <v>0</v>
      </c>
      <c r="F35" s="315">
        <v>0</v>
      </c>
      <c r="G35" s="572">
        <v>0</v>
      </c>
      <c r="H35" s="621">
        <v>0</v>
      </c>
      <c r="I35" s="621">
        <v>0</v>
      </c>
      <c r="J35" s="621">
        <v>0</v>
      </c>
      <c r="K35" s="500">
        <f t="shared" si="1"/>
        <v>0</v>
      </c>
      <c r="L35" s="500">
        <f t="shared" si="0"/>
        <v>0</v>
      </c>
    </row>
    <row r="36" spans="1:12" s="86" customFormat="1" ht="12.75">
      <c r="A36" s="145" t="s">
        <v>140</v>
      </c>
      <c r="B36" s="314">
        <v>0</v>
      </c>
      <c r="C36" s="314">
        <v>0</v>
      </c>
      <c r="D36" s="315">
        <v>0</v>
      </c>
      <c r="E36" s="315">
        <v>0</v>
      </c>
      <c r="F36" s="315">
        <v>0</v>
      </c>
      <c r="G36" s="572">
        <v>0</v>
      </c>
      <c r="H36" s="621">
        <v>0</v>
      </c>
      <c r="I36" s="621">
        <v>0</v>
      </c>
      <c r="J36" s="621">
        <v>0</v>
      </c>
      <c r="K36" s="500">
        <f t="shared" si="1"/>
        <v>0</v>
      </c>
      <c r="L36" s="500">
        <f t="shared" si="0"/>
        <v>0</v>
      </c>
    </row>
    <row r="37" spans="1:12" s="86" customFormat="1" ht="12.75">
      <c r="A37" s="145" t="s">
        <v>141</v>
      </c>
      <c r="B37" s="314">
        <v>0</v>
      </c>
      <c r="C37" s="314">
        <v>0</v>
      </c>
      <c r="D37" s="315">
        <v>0</v>
      </c>
      <c r="E37" s="315">
        <v>0</v>
      </c>
      <c r="F37" s="315">
        <v>0</v>
      </c>
      <c r="G37" s="572">
        <v>0</v>
      </c>
      <c r="H37" s="621">
        <v>0</v>
      </c>
      <c r="I37" s="621">
        <v>0</v>
      </c>
      <c r="J37" s="621">
        <v>0</v>
      </c>
      <c r="K37" s="500">
        <f t="shared" si="1"/>
        <v>0</v>
      </c>
      <c r="L37" s="500">
        <f t="shared" si="0"/>
        <v>0</v>
      </c>
    </row>
    <row r="38" spans="1:12" s="86" customFormat="1" ht="12.75">
      <c r="A38" s="145" t="s">
        <v>142</v>
      </c>
      <c r="B38" s="314">
        <v>0</v>
      </c>
      <c r="C38" s="314">
        <v>0</v>
      </c>
      <c r="D38" s="315">
        <v>0</v>
      </c>
      <c r="E38" s="315">
        <v>0</v>
      </c>
      <c r="F38" s="315">
        <v>0</v>
      </c>
      <c r="G38" s="572">
        <v>0</v>
      </c>
      <c r="H38" s="621">
        <v>0</v>
      </c>
      <c r="I38" s="621">
        <v>0</v>
      </c>
      <c r="J38" s="621">
        <v>0</v>
      </c>
      <c r="K38" s="500">
        <f t="shared" si="1"/>
        <v>0</v>
      </c>
      <c r="L38" s="500">
        <f t="shared" si="0"/>
        <v>0</v>
      </c>
    </row>
    <row r="39" spans="1:12" s="86" customFormat="1" ht="12.75">
      <c r="A39" s="145" t="s">
        <v>725</v>
      </c>
      <c r="B39" s="314">
        <v>0</v>
      </c>
      <c r="C39" s="314">
        <v>0</v>
      </c>
      <c r="D39" s="315">
        <v>0</v>
      </c>
      <c r="E39" s="315">
        <v>0</v>
      </c>
      <c r="F39" s="315">
        <v>0</v>
      </c>
      <c r="G39" s="572">
        <v>0</v>
      </c>
      <c r="H39" s="621">
        <v>0</v>
      </c>
      <c r="I39" s="621">
        <v>0</v>
      </c>
      <c r="J39" s="621">
        <v>0</v>
      </c>
      <c r="K39" s="500">
        <f t="shared" si="1"/>
        <v>0</v>
      </c>
      <c r="L39" s="500">
        <f t="shared" si="0"/>
        <v>0</v>
      </c>
    </row>
    <row r="40" spans="1:12" s="86" customFormat="1" ht="12.75">
      <c r="A40" s="145" t="s">
        <v>726</v>
      </c>
      <c r="B40" s="314">
        <v>0</v>
      </c>
      <c r="C40" s="314">
        <v>0</v>
      </c>
      <c r="D40" s="315">
        <v>0</v>
      </c>
      <c r="E40" s="315">
        <v>0</v>
      </c>
      <c r="F40" s="315">
        <v>0</v>
      </c>
      <c r="G40" s="572">
        <v>0</v>
      </c>
      <c r="H40" s="621">
        <v>0</v>
      </c>
      <c r="I40" s="621">
        <v>0</v>
      </c>
      <c r="J40" s="621">
        <v>0</v>
      </c>
      <c r="K40" s="500">
        <f t="shared" si="1"/>
        <v>0</v>
      </c>
      <c r="L40" s="500">
        <f t="shared" si="0"/>
        <v>0</v>
      </c>
    </row>
    <row r="41" spans="1:12" s="86" customFormat="1" ht="12.75">
      <c r="A41" s="145" t="s">
        <v>727</v>
      </c>
      <c r="B41" s="314">
        <v>0</v>
      </c>
      <c r="C41" s="314">
        <v>0</v>
      </c>
      <c r="D41" s="315">
        <v>0</v>
      </c>
      <c r="E41" s="315">
        <v>0</v>
      </c>
      <c r="F41" s="315">
        <v>0</v>
      </c>
      <c r="G41" s="572">
        <v>0</v>
      </c>
      <c r="H41" s="621">
        <v>0</v>
      </c>
      <c r="I41" s="621">
        <v>0</v>
      </c>
      <c r="J41" s="621">
        <v>0</v>
      </c>
      <c r="K41" s="500">
        <f t="shared" si="1"/>
        <v>0</v>
      </c>
      <c r="L41" s="500">
        <f t="shared" si="0"/>
        <v>0</v>
      </c>
    </row>
    <row r="42" spans="1:12" s="86" customFormat="1" ht="12.75">
      <c r="A42" s="145" t="s">
        <v>143</v>
      </c>
      <c r="B42" s="314">
        <v>0</v>
      </c>
      <c r="C42" s="314">
        <v>0</v>
      </c>
      <c r="D42" s="315">
        <v>0</v>
      </c>
      <c r="E42" s="315">
        <v>0</v>
      </c>
      <c r="F42" s="315">
        <v>0</v>
      </c>
      <c r="G42" s="572">
        <v>0</v>
      </c>
      <c r="H42" s="621">
        <v>0</v>
      </c>
      <c r="I42" s="621">
        <v>0</v>
      </c>
      <c r="J42" s="621">
        <v>0</v>
      </c>
      <c r="K42" s="500">
        <f t="shared" si="1"/>
        <v>0</v>
      </c>
      <c r="L42" s="500">
        <f t="shared" si="0"/>
        <v>0</v>
      </c>
    </row>
    <row r="43" spans="1:12" s="86" customFormat="1" ht="12.75">
      <c r="A43" s="145" t="s">
        <v>728</v>
      </c>
      <c r="B43" s="314">
        <v>0</v>
      </c>
      <c r="C43" s="314">
        <v>0</v>
      </c>
      <c r="D43" s="315">
        <v>0</v>
      </c>
      <c r="E43" s="315">
        <v>0</v>
      </c>
      <c r="F43" s="315">
        <v>0</v>
      </c>
      <c r="G43" s="572">
        <v>0</v>
      </c>
      <c r="H43" s="621">
        <v>0</v>
      </c>
      <c r="I43" s="621">
        <v>0</v>
      </c>
      <c r="J43" s="621">
        <v>0</v>
      </c>
      <c r="K43" s="500">
        <f t="shared" si="1"/>
        <v>0</v>
      </c>
      <c r="L43" s="500">
        <f t="shared" si="0"/>
        <v>0</v>
      </c>
    </row>
    <row r="44" spans="1:12" s="86" customFormat="1" ht="12.75">
      <c r="A44" s="145" t="s">
        <v>144</v>
      </c>
      <c r="B44" s="314">
        <v>0</v>
      </c>
      <c r="C44" s="314">
        <v>0</v>
      </c>
      <c r="D44" s="315">
        <v>0</v>
      </c>
      <c r="E44" s="315">
        <v>0</v>
      </c>
      <c r="F44" s="315">
        <v>0</v>
      </c>
      <c r="G44" s="572">
        <v>0</v>
      </c>
      <c r="H44" s="621">
        <v>0</v>
      </c>
      <c r="I44" s="621">
        <v>0</v>
      </c>
      <c r="J44" s="621">
        <v>0</v>
      </c>
      <c r="K44" s="500">
        <f t="shared" si="1"/>
        <v>0</v>
      </c>
      <c r="L44" s="500">
        <f t="shared" si="0"/>
        <v>0</v>
      </c>
    </row>
    <row r="45" spans="1:12" s="86" customFormat="1" ht="12.75">
      <c r="A45" s="145" t="s">
        <v>145</v>
      </c>
      <c r="B45" s="314">
        <v>0</v>
      </c>
      <c r="C45" s="314">
        <v>0</v>
      </c>
      <c r="D45" s="315">
        <v>0</v>
      </c>
      <c r="E45" s="315">
        <v>0</v>
      </c>
      <c r="F45" s="315">
        <v>0</v>
      </c>
      <c r="G45" s="572">
        <v>0</v>
      </c>
      <c r="H45" s="621">
        <v>0</v>
      </c>
      <c r="I45" s="621">
        <v>0</v>
      </c>
      <c r="J45" s="621">
        <v>0</v>
      </c>
      <c r="K45" s="500">
        <f t="shared" si="1"/>
        <v>0</v>
      </c>
      <c r="L45" s="500">
        <f t="shared" si="0"/>
        <v>0</v>
      </c>
    </row>
    <row r="46" spans="1:12" s="86" customFormat="1" ht="12.75">
      <c r="A46" s="145" t="s">
        <v>146</v>
      </c>
      <c r="B46" s="314">
        <v>0</v>
      </c>
      <c r="C46" s="314">
        <v>0</v>
      </c>
      <c r="D46" s="315">
        <v>0</v>
      </c>
      <c r="E46" s="315">
        <v>0</v>
      </c>
      <c r="F46" s="315">
        <v>0</v>
      </c>
      <c r="G46" s="572">
        <v>0</v>
      </c>
      <c r="H46" s="621">
        <v>0</v>
      </c>
      <c r="I46" s="621">
        <v>0</v>
      </c>
      <c r="J46" s="621">
        <v>0</v>
      </c>
      <c r="K46" s="500">
        <f t="shared" si="1"/>
        <v>0</v>
      </c>
      <c r="L46" s="500">
        <f t="shared" si="0"/>
        <v>0</v>
      </c>
    </row>
    <row r="47" spans="1:12" s="86" customFormat="1" ht="12.75">
      <c r="A47" s="145" t="s">
        <v>147</v>
      </c>
      <c r="B47" s="314">
        <v>0</v>
      </c>
      <c r="C47" s="314">
        <v>0</v>
      </c>
      <c r="D47" s="315">
        <v>0</v>
      </c>
      <c r="E47" s="315">
        <v>0</v>
      </c>
      <c r="F47" s="315">
        <v>0</v>
      </c>
      <c r="G47" s="572">
        <v>0</v>
      </c>
      <c r="H47" s="621">
        <v>0</v>
      </c>
      <c r="I47" s="621">
        <v>0</v>
      </c>
      <c r="J47" s="621">
        <v>0</v>
      </c>
      <c r="K47" s="500">
        <f t="shared" si="1"/>
        <v>0</v>
      </c>
      <c r="L47" s="500">
        <f t="shared" si="0"/>
        <v>0</v>
      </c>
    </row>
    <row r="48" spans="1:12" s="86" customFormat="1" ht="12.75">
      <c r="A48" s="147" t="s">
        <v>729</v>
      </c>
      <c r="B48" s="316">
        <v>0</v>
      </c>
      <c r="C48" s="316">
        <v>0</v>
      </c>
      <c r="D48" s="317">
        <v>0</v>
      </c>
      <c r="E48" s="317">
        <v>0</v>
      </c>
      <c r="F48" s="317">
        <v>0</v>
      </c>
      <c r="G48" s="573">
        <v>0</v>
      </c>
      <c r="H48" s="622">
        <v>0</v>
      </c>
      <c r="I48" s="622">
        <v>0</v>
      </c>
      <c r="J48" s="622">
        <v>0</v>
      </c>
      <c r="K48" s="500">
        <f t="shared" si="1"/>
        <v>0</v>
      </c>
      <c r="L48" s="500">
        <f t="shared" si="0"/>
        <v>0</v>
      </c>
    </row>
    <row r="49" spans="1:12" s="86" customFormat="1" ht="12.75">
      <c r="A49" s="145" t="s">
        <v>149</v>
      </c>
      <c r="B49" s="314">
        <v>556.11400000000003</v>
      </c>
      <c r="C49" s="314">
        <v>652.42399999999998</v>
      </c>
      <c r="D49" s="315">
        <v>585.02200000000005</v>
      </c>
      <c r="E49" s="315">
        <v>663.23699999999997</v>
      </c>
      <c r="F49" s="315">
        <v>440.47500000000002</v>
      </c>
      <c r="G49" s="572">
        <v>479.08100000000002</v>
      </c>
      <c r="H49" s="621">
        <v>964.79399999999998</v>
      </c>
      <c r="I49" s="621">
        <v>711</v>
      </c>
      <c r="J49" s="621">
        <v>778.31100000000004</v>
      </c>
      <c r="K49" s="500">
        <f t="shared" si="1"/>
        <v>9.5272551857211764E-3</v>
      </c>
      <c r="L49" s="500">
        <f t="shared" si="0"/>
        <v>8.0381368521016839E-3</v>
      </c>
    </row>
    <row r="50" spans="1:12" s="86" customFormat="1" ht="12.75">
      <c r="A50" s="145" t="s">
        <v>150</v>
      </c>
      <c r="B50" s="314">
        <v>1313.0170000000001</v>
      </c>
      <c r="C50" s="314">
        <v>964.04399999999998</v>
      </c>
      <c r="D50" s="315">
        <v>1910.2719999999999</v>
      </c>
      <c r="E50" s="315">
        <v>2214.0749999999998</v>
      </c>
      <c r="F50" s="315">
        <v>2059.0859999999998</v>
      </c>
      <c r="G50" s="572">
        <v>2402.5709999999999</v>
      </c>
      <c r="H50" s="621">
        <v>2312.3960000000002</v>
      </c>
      <c r="I50" s="621">
        <v>2605</v>
      </c>
      <c r="J50" s="621">
        <v>2241.5830000000001</v>
      </c>
      <c r="K50" s="500">
        <f t="shared" si="1"/>
        <v>3.4906469421664789E-2</v>
      </c>
      <c r="L50" s="500">
        <f t="shared" si="0"/>
        <v>2.3150322839256606E-2</v>
      </c>
    </row>
    <row r="51" spans="1:12" s="86" customFormat="1" ht="12.75">
      <c r="A51" s="145" t="s">
        <v>151</v>
      </c>
      <c r="B51" s="314">
        <v>0</v>
      </c>
      <c r="C51" s="314">
        <v>0</v>
      </c>
      <c r="D51" s="315">
        <v>0</v>
      </c>
      <c r="E51" s="315">
        <v>0</v>
      </c>
      <c r="F51" s="315">
        <v>0</v>
      </c>
      <c r="G51" s="572">
        <v>0</v>
      </c>
      <c r="H51" s="621">
        <v>0</v>
      </c>
      <c r="I51" s="621">
        <v>0</v>
      </c>
      <c r="J51" s="621">
        <v>0</v>
      </c>
      <c r="K51" s="500">
        <f t="shared" si="1"/>
        <v>0</v>
      </c>
      <c r="L51" s="500">
        <f t="shared" si="0"/>
        <v>0</v>
      </c>
    </row>
    <row r="52" spans="1:12" s="86" customFormat="1" ht="12.75">
      <c r="A52" s="145" t="s">
        <v>152</v>
      </c>
      <c r="B52" s="314">
        <v>0</v>
      </c>
      <c r="C52" s="314">
        <v>0</v>
      </c>
      <c r="D52" s="315">
        <v>0</v>
      </c>
      <c r="E52" s="315">
        <v>0</v>
      </c>
      <c r="F52" s="315">
        <v>0</v>
      </c>
      <c r="G52" s="572">
        <v>0</v>
      </c>
      <c r="H52" s="621">
        <v>0</v>
      </c>
      <c r="I52" s="621">
        <v>0</v>
      </c>
      <c r="J52" s="621">
        <v>0</v>
      </c>
      <c r="K52" s="500">
        <f t="shared" si="1"/>
        <v>0</v>
      </c>
      <c r="L52" s="500">
        <f t="shared" si="0"/>
        <v>0</v>
      </c>
    </row>
    <row r="53" spans="1:12" s="86" customFormat="1" ht="12.75">
      <c r="A53" s="145" t="s">
        <v>153</v>
      </c>
      <c r="B53" s="314">
        <v>0</v>
      </c>
      <c r="C53" s="314">
        <v>0</v>
      </c>
      <c r="D53" s="315">
        <v>0</v>
      </c>
      <c r="E53" s="315">
        <v>0</v>
      </c>
      <c r="F53" s="315">
        <v>0</v>
      </c>
      <c r="G53" s="572">
        <v>0</v>
      </c>
      <c r="H53" s="621">
        <v>0</v>
      </c>
      <c r="I53" s="621">
        <v>0</v>
      </c>
      <c r="J53" s="621">
        <v>0</v>
      </c>
      <c r="K53" s="500">
        <f t="shared" si="1"/>
        <v>0</v>
      </c>
      <c r="L53" s="500">
        <f t="shared" si="0"/>
        <v>0</v>
      </c>
    </row>
    <row r="54" spans="1:12" s="86" customFormat="1" ht="12.75">
      <c r="A54" s="145" t="s">
        <v>154</v>
      </c>
      <c r="B54" s="314">
        <v>0</v>
      </c>
      <c r="C54" s="314">
        <v>0</v>
      </c>
      <c r="D54" s="315">
        <v>0</v>
      </c>
      <c r="E54" s="315">
        <v>0</v>
      </c>
      <c r="F54" s="315">
        <v>0</v>
      </c>
      <c r="G54" s="572">
        <v>0</v>
      </c>
      <c r="H54" s="621">
        <v>0</v>
      </c>
      <c r="I54" s="621">
        <v>0</v>
      </c>
      <c r="J54" s="621">
        <v>0</v>
      </c>
      <c r="K54" s="500">
        <f t="shared" si="1"/>
        <v>0</v>
      </c>
      <c r="L54" s="500">
        <f t="shared" si="0"/>
        <v>0</v>
      </c>
    </row>
    <row r="55" spans="1:12" s="86" customFormat="1" ht="12.75">
      <c r="A55" s="147" t="s">
        <v>155</v>
      </c>
      <c r="B55" s="316">
        <v>1869.1310000000001</v>
      </c>
      <c r="C55" s="316">
        <v>1616.4680000000001</v>
      </c>
      <c r="D55" s="317">
        <v>2495.2939999999999</v>
      </c>
      <c r="E55" s="317">
        <v>2877.3119999999999</v>
      </c>
      <c r="F55" s="317">
        <v>2499.5610000000001</v>
      </c>
      <c r="G55" s="573">
        <v>2881.652</v>
      </c>
      <c r="H55" s="622">
        <v>3277.19</v>
      </c>
      <c r="I55" s="622">
        <v>3316</v>
      </c>
      <c r="J55" s="622">
        <v>3019.8939999999998</v>
      </c>
      <c r="K55" s="500">
        <f t="shared" si="1"/>
        <v>4.4433724607385969E-2</v>
      </c>
      <c r="L55" s="500">
        <f t="shared" si="0"/>
        <v>3.1188459691358288E-2</v>
      </c>
    </row>
    <row r="56" spans="1:12" s="86" customFormat="1" ht="12.75">
      <c r="A56" s="147" t="s">
        <v>730</v>
      </c>
      <c r="B56" s="316">
        <v>63581.631000000001</v>
      </c>
      <c r="C56" s="316">
        <v>64882.928999999996</v>
      </c>
      <c r="D56" s="317">
        <v>87213.221999999994</v>
      </c>
      <c r="E56" s="317">
        <v>41006.324999999997</v>
      </c>
      <c r="F56" s="317">
        <v>46275.146000000001</v>
      </c>
      <c r="G56" s="573">
        <v>46577.904999999999</v>
      </c>
      <c r="H56" s="622">
        <v>49946.913999999997</v>
      </c>
      <c r="I56" s="622">
        <v>65694</v>
      </c>
      <c r="J56" s="622">
        <v>89168.369000000006</v>
      </c>
      <c r="K56" s="500">
        <f t="shared" si="1"/>
        <v>0.8802862196494613</v>
      </c>
      <c r="L56" s="500">
        <f t="shared" si="0"/>
        <v>0.92090122444717004</v>
      </c>
    </row>
    <row r="57" spans="1:12" s="86" customFormat="1" ht="12.75">
      <c r="A57" s="145" t="s">
        <v>157</v>
      </c>
      <c r="B57" s="314">
        <v>312.61200000000002</v>
      </c>
      <c r="C57" s="314">
        <v>247.46</v>
      </c>
      <c r="D57" s="315">
        <v>144.49199999999999</v>
      </c>
      <c r="E57" s="315">
        <v>144.49199999999999</v>
      </c>
      <c r="F57" s="315">
        <v>143.49199999999999</v>
      </c>
      <c r="G57" s="572">
        <v>143.49199999999999</v>
      </c>
      <c r="H57" s="621">
        <v>143.49199999999999</v>
      </c>
      <c r="I57" s="621">
        <v>106</v>
      </c>
      <c r="J57" s="621">
        <v>400</v>
      </c>
      <c r="K57" s="500">
        <f t="shared" si="1"/>
        <v>1.4203784102481641E-3</v>
      </c>
      <c r="L57" s="500">
        <f t="shared" si="0"/>
        <v>4.1310668111342042E-3</v>
      </c>
    </row>
    <row r="58" spans="1:12" s="86" customFormat="1" ht="12.75">
      <c r="A58" s="145" t="s">
        <v>709</v>
      </c>
      <c r="B58" s="314">
        <v>0</v>
      </c>
      <c r="C58" s="314">
        <v>0</v>
      </c>
      <c r="D58" s="315">
        <v>0</v>
      </c>
      <c r="E58" s="315">
        <v>0</v>
      </c>
      <c r="F58" s="315">
        <v>0</v>
      </c>
      <c r="G58" s="572">
        <v>0</v>
      </c>
      <c r="H58" s="621">
        <v>0</v>
      </c>
      <c r="I58" s="621">
        <v>0</v>
      </c>
      <c r="J58" s="621">
        <v>0</v>
      </c>
      <c r="K58" s="500">
        <f t="shared" si="1"/>
        <v>0</v>
      </c>
      <c r="L58" s="500">
        <f t="shared" si="0"/>
        <v>0</v>
      </c>
    </row>
    <row r="59" spans="1:12" s="86" customFormat="1" ht="12.75">
      <c r="A59" s="145" t="s">
        <v>731</v>
      </c>
      <c r="B59" s="314">
        <v>0</v>
      </c>
      <c r="C59" s="314">
        <v>0</v>
      </c>
      <c r="D59" s="315">
        <v>0</v>
      </c>
      <c r="E59" s="315">
        <v>0</v>
      </c>
      <c r="F59" s="315">
        <v>0</v>
      </c>
      <c r="G59" s="572">
        <v>0</v>
      </c>
      <c r="H59" s="621">
        <v>0</v>
      </c>
      <c r="I59" s="621">
        <v>0</v>
      </c>
      <c r="J59" s="621">
        <v>0</v>
      </c>
      <c r="K59" s="500">
        <f t="shared" si="1"/>
        <v>0</v>
      </c>
      <c r="L59" s="500">
        <f t="shared" si="0"/>
        <v>0</v>
      </c>
    </row>
    <row r="60" spans="1:12" s="86" customFormat="1" ht="12.75">
      <c r="A60" s="145" t="s">
        <v>732</v>
      </c>
      <c r="B60" s="314">
        <v>0</v>
      </c>
      <c r="C60" s="314">
        <v>0</v>
      </c>
      <c r="D60" s="315">
        <v>0</v>
      </c>
      <c r="E60" s="315">
        <v>0</v>
      </c>
      <c r="F60" s="315">
        <v>0</v>
      </c>
      <c r="G60" s="572">
        <v>0</v>
      </c>
      <c r="H60" s="621">
        <v>0</v>
      </c>
      <c r="I60" s="621">
        <v>0</v>
      </c>
      <c r="J60" s="621">
        <v>0</v>
      </c>
      <c r="K60" s="500">
        <f t="shared" si="1"/>
        <v>0</v>
      </c>
      <c r="L60" s="500">
        <f t="shared" si="0"/>
        <v>0</v>
      </c>
    </row>
    <row r="61" spans="1:12" s="86" customFormat="1" ht="12.75">
      <c r="A61" s="145" t="s">
        <v>733</v>
      </c>
      <c r="B61" s="314">
        <v>0</v>
      </c>
      <c r="C61" s="314">
        <v>0</v>
      </c>
      <c r="D61" s="315">
        <v>0</v>
      </c>
      <c r="E61" s="315">
        <v>48886.203999999998</v>
      </c>
      <c r="F61" s="315">
        <v>48974.131999999998</v>
      </c>
      <c r="G61" s="572">
        <v>53186.184000000001</v>
      </c>
      <c r="H61" s="621">
        <v>0</v>
      </c>
      <c r="I61" s="621">
        <v>0</v>
      </c>
      <c r="J61" s="621">
        <v>0</v>
      </c>
      <c r="K61" s="500">
        <f t="shared" si="1"/>
        <v>0</v>
      </c>
      <c r="L61" s="500">
        <f t="shared" si="0"/>
        <v>0</v>
      </c>
    </row>
    <row r="62" spans="1:12" s="86" customFormat="1" ht="12.75">
      <c r="A62" s="145" t="s">
        <v>734</v>
      </c>
      <c r="B62" s="314">
        <v>0</v>
      </c>
      <c r="C62" s="314">
        <v>0</v>
      </c>
      <c r="D62" s="315">
        <v>0</v>
      </c>
      <c r="E62" s="315">
        <v>0</v>
      </c>
      <c r="F62" s="315">
        <v>0</v>
      </c>
      <c r="G62" s="572">
        <v>0</v>
      </c>
      <c r="H62" s="621">
        <v>0</v>
      </c>
      <c r="I62" s="621">
        <v>0</v>
      </c>
      <c r="J62" s="621">
        <v>0</v>
      </c>
      <c r="K62" s="500">
        <f t="shared" si="1"/>
        <v>0</v>
      </c>
      <c r="L62" s="500">
        <f t="shared" si="0"/>
        <v>0</v>
      </c>
    </row>
    <row r="63" spans="1:12" s="86" customFormat="1" ht="12.75">
      <c r="A63" s="145" t="s">
        <v>735</v>
      </c>
      <c r="B63" s="314">
        <v>0</v>
      </c>
      <c r="C63" s="314">
        <v>0</v>
      </c>
      <c r="D63" s="315">
        <v>0</v>
      </c>
      <c r="E63" s="315">
        <v>0</v>
      </c>
      <c r="F63" s="315">
        <v>0</v>
      </c>
      <c r="G63" s="572">
        <v>0</v>
      </c>
      <c r="H63" s="621">
        <v>0</v>
      </c>
      <c r="I63" s="621">
        <v>0</v>
      </c>
      <c r="J63" s="621">
        <v>0</v>
      </c>
      <c r="K63" s="500">
        <f t="shared" si="1"/>
        <v>0</v>
      </c>
      <c r="L63" s="500">
        <f t="shared" si="0"/>
        <v>0</v>
      </c>
    </row>
    <row r="64" spans="1:12" s="86" customFormat="1" ht="12.75">
      <c r="A64" s="145" t="s">
        <v>736</v>
      </c>
      <c r="B64" s="314">
        <v>0</v>
      </c>
      <c r="C64" s="314">
        <v>0</v>
      </c>
      <c r="D64" s="315">
        <v>0</v>
      </c>
      <c r="E64" s="315">
        <v>0</v>
      </c>
      <c r="F64" s="315">
        <v>0</v>
      </c>
      <c r="G64" s="572">
        <v>0</v>
      </c>
      <c r="H64" s="621">
        <v>0</v>
      </c>
      <c r="I64" s="621">
        <v>0</v>
      </c>
      <c r="J64" s="621">
        <v>0</v>
      </c>
      <c r="K64" s="500">
        <f t="shared" si="1"/>
        <v>0</v>
      </c>
      <c r="L64" s="500">
        <f t="shared" si="0"/>
        <v>0</v>
      </c>
    </row>
    <row r="65" spans="1:12" s="86" customFormat="1" ht="12.75">
      <c r="A65" s="145" t="s">
        <v>737</v>
      </c>
      <c r="B65" s="314">
        <v>0</v>
      </c>
      <c r="C65" s="314">
        <v>0</v>
      </c>
      <c r="D65" s="315">
        <v>0</v>
      </c>
      <c r="E65" s="315">
        <v>0</v>
      </c>
      <c r="F65" s="315">
        <v>0</v>
      </c>
      <c r="G65" s="572">
        <v>0</v>
      </c>
      <c r="H65" s="621">
        <v>0</v>
      </c>
      <c r="I65" s="621">
        <v>0</v>
      </c>
      <c r="J65" s="621">
        <v>0</v>
      </c>
      <c r="K65" s="500">
        <f t="shared" si="1"/>
        <v>0</v>
      </c>
      <c r="L65" s="500">
        <f t="shared" si="0"/>
        <v>0</v>
      </c>
    </row>
    <row r="66" spans="1:12" s="86" customFormat="1" ht="12.75">
      <c r="A66" s="145" t="s">
        <v>738</v>
      </c>
      <c r="B66" s="314">
        <v>0</v>
      </c>
      <c r="C66" s="314">
        <v>0</v>
      </c>
      <c r="D66" s="315">
        <v>0</v>
      </c>
      <c r="E66" s="315">
        <v>0</v>
      </c>
      <c r="F66" s="315">
        <v>0</v>
      </c>
      <c r="G66" s="572">
        <v>0</v>
      </c>
      <c r="H66" s="621">
        <v>0</v>
      </c>
      <c r="I66" s="621">
        <v>0</v>
      </c>
      <c r="J66" s="621">
        <v>0</v>
      </c>
      <c r="K66" s="500">
        <f t="shared" si="1"/>
        <v>0</v>
      </c>
      <c r="L66" s="500">
        <f t="shared" si="0"/>
        <v>0</v>
      </c>
    </row>
    <row r="67" spans="1:12" s="86" customFormat="1" ht="12.75">
      <c r="A67" s="145" t="s">
        <v>739</v>
      </c>
      <c r="B67" s="314">
        <v>0</v>
      </c>
      <c r="C67" s="314">
        <v>0</v>
      </c>
      <c r="D67" s="315">
        <v>0</v>
      </c>
      <c r="E67" s="315">
        <v>0</v>
      </c>
      <c r="F67" s="315">
        <v>0</v>
      </c>
      <c r="G67" s="572">
        <v>0</v>
      </c>
      <c r="H67" s="621">
        <v>0</v>
      </c>
      <c r="I67" s="621">
        <v>0</v>
      </c>
      <c r="J67" s="621">
        <v>0</v>
      </c>
      <c r="K67" s="500">
        <f t="shared" si="1"/>
        <v>0</v>
      </c>
      <c r="L67" s="500">
        <f t="shared" si="0"/>
        <v>0</v>
      </c>
    </row>
    <row r="68" spans="1:12" s="86" customFormat="1" ht="12.75">
      <c r="A68" s="145" t="s">
        <v>740</v>
      </c>
      <c r="B68" s="314">
        <v>0</v>
      </c>
      <c r="C68" s="314">
        <v>0</v>
      </c>
      <c r="D68" s="315">
        <v>0</v>
      </c>
      <c r="E68" s="315">
        <v>0</v>
      </c>
      <c r="F68" s="315">
        <v>0</v>
      </c>
      <c r="G68" s="572">
        <v>0</v>
      </c>
      <c r="H68" s="621">
        <v>0</v>
      </c>
      <c r="I68" s="621">
        <v>0</v>
      </c>
      <c r="J68" s="621">
        <v>0</v>
      </c>
      <c r="K68" s="500">
        <f t="shared" si="1"/>
        <v>0</v>
      </c>
      <c r="L68" s="500">
        <f t="shared" ref="L68:L106" si="2">+J68/$J$106</f>
        <v>0</v>
      </c>
    </row>
    <row r="69" spans="1:12" s="86" customFormat="1" ht="12.75">
      <c r="A69" s="145" t="s">
        <v>741</v>
      </c>
      <c r="B69" s="314">
        <v>0</v>
      </c>
      <c r="C69" s="314">
        <v>0</v>
      </c>
      <c r="D69" s="315">
        <v>0</v>
      </c>
      <c r="E69" s="315">
        <v>0</v>
      </c>
      <c r="F69" s="315">
        <v>0</v>
      </c>
      <c r="G69" s="572">
        <v>0</v>
      </c>
      <c r="H69" s="621">
        <v>0</v>
      </c>
      <c r="I69" s="621">
        <v>0</v>
      </c>
      <c r="J69" s="621">
        <v>0</v>
      </c>
      <c r="K69" s="500">
        <f t="shared" ref="K69:K106" si="3">+I69/$I$106</f>
        <v>0</v>
      </c>
      <c r="L69" s="500">
        <f t="shared" si="2"/>
        <v>0</v>
      </c>
    </row>
    <row r="70" spans="1:12" s="86" customFormat="1" ht="12.75">
      <c r="A70" s="145" t="s">
        <v>742</v>
      </c>
      <c r="B70" s="314">
        <v>0</v>
      </c>
      <c r="C70" s="314">
        <v>0</v>
      </c>
      <c r="D70" s="315">
        <v>0</v>
      </c>
      <c r="E70" s="315">
        <v>0</v>
      </c>
      <c r="F70" s="315">
        <v>0</v>
      </c>
      <c r="G70" s="572">
        <v>0</v>
      </c>
      <c r="H70" s="621">
        <v>0</v>
      </c>
      <c r="I70" s="621">
        <v>0</v>
      </c>
      <c r="J70" s="621">
        <v>0</v>
      </c>
      <c r="K70" s="500">
        <f t="shared" si="3"/>
        <v>0</v>
      </c>
      <c r="L70" s="500">
        <f t="shared" si="2"/>
        <v>0</v>
      </c>
    </row>
    <row r="71" spans="1:12" s="86" customFormat="1" ht="12.75">
      <c r="A71" s="145" t="s">
        <v>743</v>
      </c>
      <c r="B71" s="314">
        <v>0</v>
      </c>
      <c r="C71" s="314">
        <v>0</v>
      </c>
      <c r="D71" s="315">
        <v>0</v>
      </c>
      <c r="E71" s="315">
        <v>0</v>
      </c>
      <c r="F71" s="315">
        <v>0</v>
      </c>
      <c r="G71" s="572">
        <v>0</v>
      </c>
      <c r="H71" s="621">
        <v>0</v>
      </c>
      <c r="I71" s="621">
        <v>0</v>
      </c>
      <c r="J71" s="621">
        <v>0</v>
      </c>
      <c r="K71" s="500">
        <f t="shared" si="3"/>
        <v>0</v>
      </c>
      <c r="L71" s="500">
        <f t="shared" si="2"/>
        <v>0</v>
      </c>
    </row>
    <row r="72" spans="1:12" s="86" customFormat="1" ht="12.75">
      <c r="A72" s="145" t="s">
        <v>744</v>
      </c>
      <c r="B72" s="314">
        <v>1291.126</v>
      </c>
      <c r="C72" s="314">
        <v>1158.68</v>
      </c>
      <c r="D72" s="315">
        <v>1479.6279999999999</v>
      </c>
      <c r="E72" s="315">
        <v>1607.806</v>
      </c>
      <c r="F72" s="315">
        <v>1751.587</v>
      </c>
      <c r="G72" s="572">
        <v>2364.9690000000001</v>
      </c>
      <c r="H72" s="621">
        <v>2450.433</v>
      </c>
      <c r="I72" s="621">
        <v>2493</v>
      </c>
      <c r="J72" s="621">
        <v>2458.8049999999998</v>
      </c>
      <c r="K72" s="500">
        <f t="shared" si="3"/>
        <v>3.340569223347805E-2</v>
      </c>
      <c r="L72" s="500">
        <f t="shared" si="2"/>
        <v>2.5393719326377091E-2</v>
      </c>
    </row>
    <row r="73" spans="1:12" s="86" customFormat="1" ht="12.75">
      <c r="A73" s="145" t="s">
        <v>745</v>
      </c>
      <c r="B73" s="314">
        <v>0</v>
      </c>
      <c r="C73" s="314">
        <v>0</v>
      </c>
      <c r="D73" s="315">
        <v>0</v>
      </c>
      <c r="E73" s="315">
        <v>0</v>
      </c>
      <c r="F73" s="315">
        <v>0</v>
      </c>
      <c r="G73" s="572">
        <v>0</v>
      </c>
      <c r="H73" s="621">
        <v>0</v>
      </c>
      <c r="I73" s="621">
        <v>0</v>
      </c>
      <c r="J73" s="621">
        <v>0</v>
      </c>
      <c r="K73" s="500">
        <f t="shared" si="3"/>
        <v>0</v>
      </c>
      <c r="L73" s="500">
        <f t="shared" si="2"/>
        <v>0</v>
      </c>
    </row>
    <row r="74" spans="1:12" s="86" customFormat="1" ht="12.75">
      <c r="A74" s="145" t="s">
        <v>746</v>
      </c>
      <c r="B74" s="314">
        <v>0</v>
      </c>
      <c r="C74" s="314">
        <v>0</v>
      </c>
      <c r="D74" s="315">
        <v>0</v>
      </c>
      <c r="E74" s="315">
        <v>0</v>
      </c>
      <c r="F74" s="315">
        <v>0</v>
      </c>
      <c r="G74" s="572">
        <v>0</v>
      </c>
      <c r="H74" s="621">
        <v>0</v>
      </c>
      <c r="I74" s="621">
        <v>0</v>
      </c>
      <c r="J74" s="621">
        <v>0</v>
      </c>
      <c r="K74" s="500">
        <f t="shared" si="3"/>
        <v>0</v>
      </c>
      <c r="L74" s="500">
        <f t="shared" si="2"/>
        <v>0</v>
      </c>
    </row>
    <row r="75" spans="1:12" s="86" customFormat="1" ht="12.75">
      <c r="A75" s="145" t="s">
        <v>747</v>
      </c>
      <c r="B75" s="314">
        <v>0</v>
      </c>
      <c r="C75" s="314">
        <v>0</v>
      </c>
      <c r="D75" s="315">
        <v>0</v>
      </c>
      <c r="E75" s="315">
        <v>0</v>
      </c>
      <c r="F75" s="315">
        <v>0</v>
      </c>
      <c r="G75" s="572">
        <v>0</v>
      </c>
      <c r="H75" s="621">
        <v>0</v>
      </c>
      <c r="I75" s="621">
        <v>0</v>
      </c>
      <c r="J75" s="621">
        <v>0</v>
      </c>
      <c r="K75" s="500">
        <f t="shared" si="3"/>
        <v>0</v>
      </c>
      <c r="L75" s="500">
        <f t="shared" si="2"/>
        <v>0</v>
      </c>
    </row>
    <row r="76" spans="1:12" s="86" customFormat="1" ht="12.75">
      <c r="A76" s="145" t="s">
        <v>748</v>
      </c>
      <c r="B76" s="314">
        <v>0</v>
      </c>
      <c r="C76" s="314">
        <v>0</v>
      </c>
      <c r="D76" s="315">
        <v>0</v>
      </c>
      <c r="E76" s="315">
        <v>0</v>
      </c>
      <c r="F76" s="315">
        <v>0</v>
      </c>
      <c r="G76" s="572">
        <v>0</v>
      </c>
      <c r="H76" s="621">
        <v>0</v>
      </c>
      <c r="I76" s="621">
        <v>0</v>
      </c>
      <c r="J76" s="621">
        <v>0</v>
      </c>
      <c r="K76" s="500">
        <f t="shared" si="3"/>
        <v>0</v>
      </c>
      <c r="L76" s="500">
        <f t="shared" si="2"/>
        <v>0</v>
      </c>
    </row>
    <row r="77" spans="1:12" s="86" customFormat="1" ht="12.75">
      <c r="A77" s="145" t="s">
        <v>749</v>
      </c>
      <c r="B77" s="314">
        <v>0</v>
      </c>
      <c r="C77" s="314">
        <v>0</v>
      </c>
      <c r="D77" s="315">
        <v>0</v>
      </c>
      <c r="E77" s="315">
        <v>0</v>
      </c>
      <c r="F77" s="315">
        <v>0</v>
      </c>
      <c r="G77" s="572">
        <v>0</v>
      </c>
      <c r="H77" s="621">
        <v>0</v>
      </c>
      <c r="I77" s="621">
        <v>0</v>
      </c>
      <c r="J77" s="621">
        <v>0</v>
      </c>
      <c r="K77" s="500">
        <f t="shared" si="3"/>
        <v>0</v>
      </c>
      <c r="L77" s="500">
        <f t="shared" si="2"/>
        <v>0</v>
      </c>
    </row>
    <row r="78" spans="1:12" s="86" customFormat="1" ht="12.75">
      <c r="A78" s="147" t="s">
        <v>750</v>
      </c>
      <c r="B78" s="316">
        <v>1291.126</v>
      </c>
      <c r="C78" s="316">
        <v>1158.68</v>
      </c>
      <c r="D78" s="317">
        <v>1479.6279999999999</v>
      </c>
      <c r="E78" s="317">
        <v>50494.01</v>
      </c>
      <c r="F78" s="317">
        <v>50725.718999999997</v>
      </c>
      <c r="G78" s="573">
        <v>55551.152999999998</v>
      </c>
      <c r="H78" s="622">
        <v>2450.433</v>
      </c>
      <c r="I78" s="622">
        <v>2493</v>
      </c>
      <c r="J78" s="622">
        <v>2458.8049999999998</v>
      </c>
      <c r="K78" s="500">
        <f t="shared" si="3"/>
        <v>3.340569223347805E-2</v>
      </c>
      <c r="L78" s="500">
        <f t="shared" si="2"/>
        <v>2.5393719326377091E-2</v>
      </c>
    </row>
    <row r="79" spans="1:12" s="86" customFormat="1" ht="12.75">
      <c r="A79" s="147" t="s">
        <v>751</v>
      </c>
      <c r="B79" s="316">
        <v>5716.8379999999997</v>
      </c>
      <c r="C79" s="316">
        <v>5989.8280000000004</v>
      </c>
      <c r="D79" s="317">
        <v>4972.7250000000004</v>
      </c>
      <c r="E79" s="317">
        <v>4839.6000000000004</v>
      </c>
      <c r="F79" s="317">
        <v>4343.4449999999997</v>
      </c>
      <c r="G79" s="573">
        <v>3838.8989999999999</v>
      </c>
      <c r="H79" s="622">
        <v>3584.5630000000001</v>
      </c>
      <c r="I79" s="622">
        <v>4307</v>
      </c>
      <c r="J79" s="622">
        <v>3245.2919999999999</v>
      </c>
      <c r="K79" s="500">
        <f t="shared" si="3"/>
        <v>5.7712922763573996E-2</v>
      </c>
      <c r="L79" s="500">
        <f t="shared" si="2"/>
        <v>3.3516295184098356E-2</v>
      </c>
    </row>
    <row r="80" spans="1:12" s="86" customFormat="1" ht="12.75">
      <c r="A80" s="145" t="s">
        <v>752</v>
      </c>
      <c r="B80" s="314">
        <v>0</v>
      </c>
      <c r="C80" s="314">
        <v>0</v>
      </c>
      <c r="D80" s="315">
        <v>0</v>
      </c>
      <c r="E80" s="315">
        <v>0</v>
      </c>
      <c r="F80" s="315">
        <v>0</v>
      </c>
      <c r="G80" s="572">
        <v>0</v>
      </c>
      <c r="H80" s="621">
        <v>0</v>
      </c>
      <c r="I80" s="621">
        <v>654</v>
      </c>
      <c r="J80" s="621">
        <v>658.21699999999998</v>
      </c>
      <c r="K80" s="500">
        <f t="shared" si="3"/>
        <v>8.763466795304712E-3</v>
      </c>
      <c r="L80" s="500">
        <f t="shared" si="2"/>
        <v>6.7978460080608052E-3</v>
      </c>
    </row>
    <row r="81" spans="1:13" s="86" customFormat="1" ht="12.75">
      <c r="A81" s="145" t="s">
        <v>753</v>
      </c>
      <c r="B81" s="314">
        <v>0</v>
      </c>
      <c r="C81" s="314">
        <v>0</v>
      </c>
      <c r="D81" s="315">
        <v>0</v>
      </c>
      <c r="E81" s="315">
        <v>0</v>
      </c>
      <c r="F81" s="315">
        <v>0</v>
      </c>
      <c r="G81" s="572">
        <v>0</v>
      </c>
      <c r="H81" s="621">
        <v>0</v>
      </c>
      <c r="I81" s="621">
        <v>590</v>
      </c>
      <c r="J81" s="621">
        <v>647.49300000000005</v>
      </c>
      <c r="K81" s="500">
        <f t="shared" si="3"/>
        <v>7.9058798306265738E-3</v>
      </c>
      <c r="L81" s="500">
        <f t="shared" si="2"/>
        <v>6.6870921068542984E-3</v>
      </c>
    </row>
    <row r="82" spans="1:13" s="86" customFormat="1" ht="12.75">
      <c r="A82" s="145" t="s">
        <v>754</v>
      </c>
      <c r="B82" s="314">
        <v>0</v>
      </c>
      <c r="C82" s="314">
        <v>0</v>
      </c>
      <c r="D82" s="315">
        <v>0</v>
      </c>
      <c r="E82" s="315">
        <v>0</v>
      </c>
      <c r="F82" s="315">
        <v>0</v>
      </c>
      <c r="G82" s="572">
        <v>0</v>
      </c>
      <c r="H82" s="621">
        <v>0</v>
      </c>
      <c r="I82" s="621">
        <v>0</v>
      </c>
      <c r="J82" s="621">
        <v>0</v>
      </c>
      <c r="K82" s="500">
        <f t="shared" si="3"/>
        <v>0</v>
      </c>
      <c r="L82" s="500">
        <f t="shared" si="2"/>
        <v>0</v>
      </c>
    </row>
    <row r="83" spans="1:13" s="86" customFormat="1" ht="12.75">
      <c r="A83" s="145" t="s">
        <v>755</v>
      </c>
      <c r="B83" s="314">
        <v>0</v>
      </c>
      <c r="C83" s="314">
        <v>0</v>
      </c>
      <c r="D83" s="315">
        <v>0</v>
      </c>
      <c r="E83" s="315">
        <v>0</v>
      </c>
      <c r="F83" s="315">
        <v>0</v>
      </c>
      <c r="G83" s="572">
        <v>0</v>
      </c>
      <c r="H83" s="621">
        <v>0</v>
      </c>
      <c r="I83" s="621">
        <v>0</v>
      </c>
      <c r="J83" s="621">
        <v>0</v>
      </c>
      <c r="K83" s="500">
        <f t="shared" si="3"/>
        <v>0</v>
      </c>
      <c r="L83" s="500">
        <f t="shared" si="2"/>
        <v>0</v>
      </c>
    </row>
    <row r="84" spans="1:13" s="86" customFormat="1" ht="12.75">
      <c r="A84" s="145" t="s">
        <v>756</v>
      </c>
      <c r="B84" s="314">
        <v>0</v>
      </c>
      <c r="C84" s="314">
        <v>0</v>
      </c>
      <c r="D84" s="315">
        <v>0</v>
      </c>
      <c r="E84" s="315">
        <v>0</v>
      </c>
      <c r="F84" s="315">
        <v>0</v>
      </c>
      <c r="G84" s="572">
        <v>0</v>
      </c>
      <c r="H84" s="621">
        <v>0</v>
      </c>
      <c r="I84" s="621">
        <v>0</v>
      </c>
      <c r="J84" s="621">
        <v>0</v>
      </c>
      <c r="K84" s="500">
        <f t="shared" si="3"/>
        <v>0</v>
      </c>
      <c r="L84" s="500">
        <f t="shared" si="2"/>
        <v>0</v>
      </c>
    </row>
    <row r="85" spans="1:13" s="86" customFormat="1" ht="12.75">
      <c r="A85" s="145" t="s">
        <v>757</v>
      </c>
      <c r="B85" s="314">
        <v>0</v>
      </c>
      <c r="C85" s="314">
        <v>0</v>
      </c>
      <c r="D85" s="315">
        <v>0</v>
      </c>
      <c r="E85" s="315">
        <v>0</v>
      </c>
      <c r="F85" s="315">
        <v>0</v>
      </c>
      <c r="G85" s="572">
        <v>0</v>
      </c>
      <c r="H85" s="621">
        <v>0</v>
      </c>
      <c r="I85" s="621">
        <v>0</v>
      </c>
      <c r="J85" s="621">
        <v>0</v>
      </c>
      <c r="K85" s="500">
        <f t="shared" si="3"/>
        <v>0</v>
      </c>
      <c r="L85" s="500">
        <f t="shared" si="2"/>
        <v>0</v>
      </c>
    </row>
    <row r="86" spans="1:13" s="86" customFormat="1" ht="12.75">
      <c r="A86" s="145" t="s">
        <v>758</v>
      </c>
      <c r="B86" s="314">
        <v>0</v>
      </c>
      <c r="C86" s="314">
        <v>0</v>
      </c>
      <c r="D86" s="315">
        <v>0</v>
      </c>
      <c r="E86" s="315">
        <v>0</v>
      </c>
      <c r="F86" s="315">
        <v>0</v>
      </c>
      <c r="G86" s="572">
        <v>0</v>
      </c>
      <c r="H86" s="621">
        <v>0</v>
      </c>
      <c r="I86" s="621">
        <v>0</v>
      </c>
      <c r="J86" s="621">
        <v>0</v>
      </c>
      <c r="K86" s="500">
        <f t="shared" si="3"/>
        <v>0</v>
      </c>
      <c r="L86" s="500">
        <f t="shared" si="2"/>
        <v>0</v>
      </c>
    </row>
    <row r="87" spans="1:13" s="86" customFormat="1" ht="12.75">
      <c r="A87" s="145" t="s">
        <v>160</v>
      </c>
      <c r="B87" s="314">
        <v>0</v>
      </c>
      <c r="C87" s="314">
        <v>0</v>
      </c>
      <c r="D87" s="315">
        <v>0</v>
      </c>
      <c r="E87" s="315">
        <v>0</v>
      </c>
      <c r="F87" s="315">
        <v>0</v>
      </c>
      <c r="G87" s="572">
        <v>0</v>
      </c>
      <c r="H87" s="621">
        <v>0</v>
      </c>
      <c r="I87" s="621">
        <v>0</v>
      </c>
      <c r="J87" s="621">
        <v>181.50299999999999</v>
      </c>
      <c r="K87" s="500">
        <f t="shared" si="3"/>
        <v>0</v>
      </c>
      <c r="L87" s="500">
        <f t="shared" si="2"/>
        <v>1.8745025485532283E-3</v>
      </c>
    </row>
    <row r="88" spans="1:13" s="86" customFormat="1" ht="12.75">
      <c r="A88" s="145" t="s">
        <v>759</v>
      </c>
      <c r="B88" s="314">
        <v>0</v>
      </c>
      <c r="C88" s="314">
        <v>0</v>
      </c>
      <c r="D88" s="315">
        <v>0</v>
      </c>
      <c r="E88" s="315">
        <v>0</v>
      </c>
      <c r="F88" s="315">
        <v>0</v>
      </c>
      <c r="G88" s="572">
        <v>0</v>
      </c>
      <c r="H88" s="621">
        <v>0</v>
      </c>
      <c r="I88" s="621">
        <v>0</v>
      </c>
      <c r="J88" s="621">
        <v>0</v>
      </c>
      <c r="K88" s="500">
        <f t="shared" si="3"/>
        <v>0</v>
      </c>
      <c r="L88" s="500">
        <f t="shared" si="2"/>
        <v>0</v>
      </c>
    </row>
    <row r="89" spans="1:13" s="86" customFormat="1" ht="12.75">
      <c r="A89" s="147" t="s">
        <v>760</v>
      </c>
      <c r="B89" s="316">
        <v>0</v>
      </c>
      <c r="C89" s="316">
        <v>0</v>
      </c>
      <c r="D89" s="317">
        <v>0</v>
      </c>
      <c r="E89" s="317">
        <v>0</v>
      </c>
      <c r="F89" s="317">
        <v>0</v>
      </c>
      <c r="G89" s="573">
        <v>0</v>
      </c>
      <c r="H89" s="622">
        <v>0</v>
      </c>
      <c r="I89" s="622">
        <v>1244</v>
      </c>
      <c r="J89" s="622">
        <v>1124.2070000000001</v>
      </c>
      <c r="K89" s="500">
        <f t="shared" si="3"/>
        <v>1.6669346625931288E-2</v>
      </c>
      <c r="L89" s="500">
        <f t="shared" si="2"/>
        <v>1.1610435566361876E-2</v>
      </c>
      <c r="M89" s="113">
        <f>+SUM(J80:J88)</f>
        <v>1487.213</v>
      </c>
    </row>
    <row r="90" spans="1:13" s="86" customFormat="1" ht="12.75">
      <c r="A90" s="145" t="s">
        <v>761</v>
      </c>
      <c r="B90" s="314">
        <v>0</v>
      </c>
      <c r="C90" s="314">
        <v>0</v>
      </c>
      <c r="D90" s="315">
        <v>0</v>
      </c>
      <c r="E90" s="315">
        <v>0</v>
      </c>
      <c r="F90" s="315">
        <v>0</v>
      </c>
      <c r="G90" s="572">
        <v>0</v>
      </c>
      <c r="H90" s="621">
        <v>0</v>
      </c>
      <c r="I90" s="621">
        <v>0</v>
      </c>
      <c r="J90" s="621">
        <v>0</v>
      </c>
      <c r="K90" s="500">
        <f t="shared" si="3"/>
        <v>0</v>
      </c>
      <c r="L90" s="500">
        <f t="shared" si="2"/>
        <v>0</v>
      </c>
      <c r="M90" s="113">
        <f>+M89-J89</f>
        <v>363.00599999999986</v>
      </c>
    </row>
    <row r="91" spans="1:13" s="86" customFormat="1" ht="12.75">
      <c r="A91" s="145" t="s">
        <v>762</v>
      </c>
      <c r="B91" s="314">
        <v>3070.529</v>
      </c>
      <c r="C91" s="314">
        <v>2908.1219999999998</v>
      </c>
      <c r="D91" s="315">
        <v>1709.479</v>
      </c>
      <c r="E91" s="315">
        <v>613.66</v>
      </c>
      <c r="F91" s="315">
        <v>337.80900000000003</v>
      </c>
      <c r="G91" s="572">
        <v>319.20600000000002</v>
      </c>
      <c r="H91" s="621">
        <v>296.31700000000001</v>
      </c>
      <c r="I91" s="621">
        <v>784</v>
      </c>
      <c r="J91" s="621">
        <v>790.61599999999999</v>
      </c>
      <c r="K91" s="500">
        <f t="shared" si="3"/>
        <v>1.0505440317307177E-2</v>
      </c>
      <c r="L91" s="500">
        <f t="shared" si="2"/>
        <v>8.165218794879199E-3</v>
      </c>
    </row>
    <row r="92" spans="1:13" s="86" customFormat="1" ht="12.75">
      <c r="A92" s="145" t="s">
        <v>763</v>
      </c>
      <c r="B92" s="314">
        <v>0</v>
      </c>
      <c r="C92" s="314">
        <v>0</v>
      </c>
      <c r="D92" s="315">
        <v>0</v>
      </c>
      <c r="E92" s="315">
        <v>0</v>
      </c>
      <c r="F92" s="315">
        <v>0</v>
      </c>
      <c r="G92" s="572">
        <v>0</v>
      </c>
      <c r="H92" s="621">
        <v>0</v>
      </c>
      <c r="I92" s="621">
        <v>0</v>
      </c>
      <c r="J92" s="621">
        <v>0</v>
      </c>
      <c r="K92" s="500">
        <f t="shared" si="3"/>
        <v>0</v>
      </c>
      <c r="L92" s="500">
        <f t="shared" si="2"/>
        <v>0</v>
      </c>
    </row>
    <row r="93" spans="1:13" s="86" customFormat="1" ht="12.75">
      <c r="A93" s="145" t="s">
        <v>764</v>
      </c>
      <c r="B93" s="314">
        <v>0</v>
      </c>
      <c r="C93" s="314">
        <v>0</v>
      </c>
      <c r="D93" s="315">
        <v>0</v>
      </c>
      <c r="E93" s="315">
        <v>0</v>
      </c>
      <c r="F93" s="315">
        <v>0</v>
      </c>
      <c r="G93" s="572">
        <v>0</v>
      </c>
      <c r="H93" s="621">
        <v>0</v>
      </c>
      <c r="I93" s="621">
        <v>0</v>
      </c>
      <c r="J93" s="621">
        <v>0</v>
      </c>
      <c r="K93" s="500">
        <f t="shared" si="3"/>
        <v>0</v>
      </c>
      <c r="L93" s="500">
        <f t="shared" si="2"/>
        <v>0</v>
      </c>
    </row>
    <row r="94" spans="1:13" s="86" customFormat="1" ht="12.75">
      <c r="A94" s="145" t="s">
        <v>765</v>
      </c>
      <c r="B94" s="314">
        <v>0</v>
      </c>
      <c r="C94" s="314">
        <v>0</v>
      </c>
      <c r="D94" s="315">
        <v>0</v>
      </c>
      <c r="E94" s="315">
        <v>0</v>
      </c>
      <c r="F94" s="315">
        <v>0</v>
      </c>
      <c r="G94" s="572">
        <v>0</v>
      </c>
      <c r="H94" s="621">
        <v>0</v>
      </c>
      <c r="I94" s="621">
        <v>0</v>
      </c>
      <c r="J94" s="621">
        <v>0</v>
      </c>
      <c r="K94" s="500">
        <f t="shared" si="3"/>
        <v>0</v>
      </c>
      <c r="L94" s="500">
        <f t="shared" si="2"/>
        <v>0</v>
      </c>
    </row>
    <row r="95" spans="1:13" s="86" customFormat="1" ht="12.75">
      <c r="A95" s="145" t="s">
        <v>766</v>
      </c>
      <c r="B95" s="314">
        <v>0</v>
      </c>
      <c r="C95" s="314">
        <v>0</v>
      </c>
      <c r="D95" s="315">
        <v>0</v>
      </c>
      <c r="E95" s="315">
        <v>0</v>
      </c>
      <c r="F95" s="315">
        <v>0</v>
      </c>
      <c r="G95" s="572">
        <v>0</v>
      </c>
      <c r="H95" s="621">
        <v>0</v>
      </c>
      <c r="I95" s="621">
        <v>0</v>
      </c>
      <c r="J95" s="621">
        <v>0</v>
      </c>
      <c r="K95" s="500">
        <f t="shared" si="3"/>
        <v>0</v>
      </c>
      <c r="L95" s="500">
        <f t="shared" si="2"/>
        <v>0</v>
      </c>
    </row>
    <row r="96" spans="1:13" s="86" customFormat="1" ht="12.75">
      <c r="A96" s="147" t="s">
        <v>767</v>
      </c>
      <c r="B96" s="316">
        <v>3070.529</v>
      </c>
      <c r="C96" s="316">
        <v>2908.1219999999998</v>
      </c>
      <c r="D96" s="317">
        <v>1709.479</v>
      </c>
      <c r="E96" s="317">
        <v>613.66</v>
      </c>
      <c r="F96" s="317">
        <v>337.80900000000003</v>
      </c>
      <c r="G96" s="573">
        <v>319.20600000000002</v>
      </c>
      <c r="H96" s="622">
        <v>296.31700000000001</v>
      </c>
      <c r="I96" s="622">
        <v>784</v>
      </c>
      <c r="J96" s="622">
        <v>790.61599999999999</v>
      </c>
      <c r="K96" s="500">
        <f t="shared" si="3"/>
        <v>1.0505440317307177E-2</v>
      </c>
      <c r="L96" s="500">
        <f t="shared" si="2"/>
        <v>8.165218794879199E-3</v>
      </c>
    </row>
    <row r="97" spans="1:12" s="86" customFormat="1" ht="12.75">
      <c r="A97" s="145" t="s">
        <v>768</v>
      </c>
      <c r="B97" s="314">
        <v>0</v>
      </c>
      <c r="C97" s="314">
        <v>0</v>
      </c>
      <c r="D97" s="315">
        <v>0</v>
      </c>
      <c r="E97" s="315">
        <v>0</v>
      </c>
      <c r="F97" s="315">
        <v>0</v>
      </c>
      <c r="G97" s="572">
        <v>0</v>
      </c>
      <c r="H97" s="621">
        <v>0</v>
      </c>
      <c r="I97" s="621">
        <v>0</v>
      </c>
      <c r="J97" s="621">
        <v>0</v>
      </c>
      <c r="K97" s="500">
        <f t="shared" si="3"/>
        <v>0</v>
      </c>
      <c r="L97" s="500">
        <f t="shared" si="2"/>
        <v>0</v>
      </c>
    </row>
    <row r="98" spans="1:12" s="86" customFormat="1" ht="12.75">
      <c r="A98" s="145" t="s">
        <v>769</v>
      </c>
      <c r="B98" s="314">
        <v>0</v>
      </c>
      <c r="C98" s="314">
        <v>0</v>
      </c>
      <c r="D98" s="315">
        <v>0</v>
      </c>
      <c r="E98" s="315">
        <v>0</v>
      </c>
      <c r="F98" s="315">
        <v>0</v>
      </c>
      <c r="G98" s="572">
        <v>0</v>
      </c>
      <c r="H98" s="621">
        <v>0</v>
      </c>
      <c r="I98" s="621">
        <v>0</v>
      </c>
      <c r="J98" s="621">
        <v>0</v>
      </c>
      <c r="K98" s="500">
        <f t="shared" si="3"/>
        <v>0</v>
      </c>
      <c r="L98" s="500">
        <f t="shared" si="2"/>
        <v>0</v>
      </c>
    </row>
    <row r="99" spans="1:12" s="86" customFormat="1" ht="12.75">
      <c r="A99" s="145" t="s">
        <v>770</v>
      </c>
      <c r="B99" s="314">
        <v>0</v>
      </c>
      <c r="C99" s="314">
        <v>0</v>
      </c>
      <c r="D99" s="315">
        <v>0</v>
      </c>
      <c r="E99" s="315">
        <v>0</v>
      </c>
      <c r="F99" s="315">
        <v>0</v>
      </c>
      <c r="G99" s="572">
        <v>0</v>
      </c>
      <c r="H99" s="621">
        <v>0</v>
      </c>
      <c r="I99" s="621">
        <v>0</v>
      </c>
      <c r="J99" s="621">
        <v>0</v>
      </c>
      <c r="K99" s="500">
        <f t="shared" si="3"/>
        <v>0</v>
      </c>
      <c r="L99" s="500">
        <f t="shared" si="2"/>
        <v>0</v>
      </c>
    </row>
    <row r="100" spans="1:12" s="86" customFormat="1" ht="12.75">
      <c r="A100" s="147" t="s">
        <v>771</v>
      </c>
      <c r="B100" s="316">
        <v>0</v>
      </c>
      <c r="C100" s="316">
        <v>0</v>
      </c>
      <c r="D100" s="317">
        <v>0</v>
      </c>
      <c r="E100" s="317">
        <v>0</v>
      </c>
      <c r="F100" s="317">
        <v>0</v>
      </c>
      <c r="G100" s="573">
        <v>0</v>
      </c>
      <c r="H100" s="622">
        <v>0</v>
      </c>
      <c r="I100" s="621">
        <v>0</v>
      </c>
      <c r="J100" s="622">
        <v>0</v>
      </c>
      <c r="K100" s="500">
        <f t="shared" si="3"/>
        <v>0</v>
      </c>
      <c r="L100" s="500">
        <f t="shared" si="2"/>
        <v>0</v>
      </c>
    </row>
    <row r="101" spans="1:12" s="86" customFormat="1" ht="12.75">
      <c r="A101" s="145" t="s">
        <v>772</v>
      </c>
      <c r="B101" s="314">
        <v>26.902000000000001</v>
      </c>
      <c r="C101" s="314">
        <v>26.902000000000001</v>
      </c>
      <c r="D101" s="315">
        <v>26.902000000000001</v>
      </c>
      <c r="E101" s="315">
        <v>26.902999999999999</v>
      </c>
      <c r="F101" s="315">
        <v>0</v>
      </c>
      <c r="G101" s="572">
        <v>0</v>
      </c>
      <c r="H101" s="621">
        <v>0</v>
      </c>
      <c r="I101" s="621">
        <v>0</v>
      </c>
      <c r="J101" s="621">
        <v>0</v>
      </c>
      <c r="K101" s="500">
        <f t="shared" si="3"/>
        <v>0</v>
      </c>
      <c r="L101" s="500">
        <f t="shared" si="2"/>
        <v>0</v>
      </c>
    </row>
    <row r="102" spans="1:12" s="86" customFormat="1" ht="12.75">
      <c r="A102" s="148" t="s">
        <v>773</v>
      </c>
      <c r="B102" s="314">
        <v>5.0780000000000003</v>
      </c>
      <c r="C102" s="314">
        <v>70.616</v>
      </c>
      <c r="D102" s="315">
        <v>3.2290000000000001</v>
      </c>
      <c r="E102" s="315">
        <v>23.847000000000001</v>
      </c>
      <c r="F102" s="315">
        <v>0</v>
      </c>
      <c r="G102" s="572">
        <v>0</v>
      </c>
      <c r="H102" s="621">
        <v>0</v>
      </c>
      <c r="I102" s="621">
        <v>0</v>
      </c>
      <c r="J102" s="621">
        <v>0</v>
      </c>
      <c r="K102" s="500">
        <f t="shared" si="3"/>
        <v>0</v>
      </c>
      <c r="L102" s="500">
        <f t="shared" si="2"/>
        <v>0</v>
      </c>
    </row>
    <row r="103" spans="1:12" s="86" customFormat="1" ht="12.75">
      <c r="A103" s="145" t="s">
        <v>774</v>
      </c>
      <c r="B103" s="314">
        <v>0</v>
      </c>
      <c r="C103" s="314">
        <v>0</v>
      </c>
      <c r="D103" s="315">
        <v>0</v>
      </c>
      <c r="E103" s="315">
        <v>0</v>
      </c>
      <c r="F103" s="315">
        <v>0</v>
      </c>
      <c r="G103" s="572">
        <v>0</v>
      </c>
      <c r="H103" s="621">
        <v>0</v>
      </c>
      <c r="I103" s="621">
        <v>0</v>
      </c>
      <c r="J103" s="621">
        <v>0</v>
      </c>
      <c r="K103" s="500">
        <f t="shared" si="3"/>
        <v>0</v>
      </c>
      <c r="L103" s="500">
        <f t="shared" si="2"/>
        <v>0</v>
      </c>
    </row>
    <row r="104" spans="1:12" s="86" customFormat="1" ht="12.75">
      <c r="A104" s="147" t="s">
        <v>775</v>
      </c>
      <c r="B104" s="316">
        <v>31.98</v>
      </c>
      <c r="C104" s="316">
        <v>97.518000000000001</v>
      </c>
      <c r="D104" s="317">
        <v>30.131</v>
      </c>
      <c r="E104" s="317">
        <v>50.75</v>
      </c>
      <c r="F104" s="317">
        <v>0</v>
      </c>
      <c r="G104" s="573">
        <v>0</v>
      </c>
      <c r="H104" s="622">
        <v>0</v>
      </c>
      <c r="I104" s="621">
        <v>0</v>
      </c>
      <c r="J104" s="622">
        <v>0</v>
      </c>
      <c r="K104" s="500">
        <f t="shared" si="3"/>
        <v>0</v>
      </c>
      <c r="L104" s="500">
        <f t="shared" si="2"/>
        <v>0</v>
      </c>
    </row>
    <row r="105" spans="1:12" s="86" customFormat="1" ht="12.75">
      <c r="A105" s="147" t="s">
        <v>776</v>
      </c>
      <c r="B105" s="316">
        <v>10423.084999999999</v>
      </c>
      <c r="C105" s="316">
        <v>10401.608</v>
      </c>
      <c r="D105" s="317">
        <v>8336.4549999999999</v>
      </c>
      <c r="E105" s="317">
        <v>56142.512000000002</v>
      </c>
      <c r="F105" s="317">
        <v>55550.464999999997</v>
      </c>
      <c r="G105" s="573">
        <v>59852.75</v>
      </c>
      <c r="H105" s="622">
        <v>6474.8050000000003</v>
      </c>
      <c r="I105" s="622">
        <v>8934</v>
      </c>
      <c r="J105" s="622">
        <v>7658.92</v>
      </c>
      <c r="K105" s="500">
        <f t="shared" si="3"/>
        <v>0.11971378035053867</v>
      </c>
      <c r="L105" s="500">
        <f t="shared" si="2"/>
        <v>7.9098775552829945E-2</v>
      </c>
    </row>
    <row r="106" spans="1:12" s="86" customFormat="1" ht="12.75">
      <c r="A106" s="147" t="s">
        <v>346</v>
      </c>
      <c r="B106" s="316">
        <v>74004.716</v>
      </c>
      <c r="C106" s="316">
        <v>75284.536999999997</v>
      </c>
      <c r="D106" s="317">
        <v>95549.676999999996</v>
      </c>
      <c r="E106" s="317">
        <v>97148.837</v>
      </c>
      <c r="F106" s="317">
        <v>101825.611</v>
      </c>
      <c r="G106" s="573">
        <v>106430.655</v>
      </c>
      <c r="H106" s="622">
        <v>56421.718999999997</v>
      </c>
      <c r="I106" s="622">
        <v>74628</v>
      </c>
      <c r="J106" s="622">
        <f>+J105+J56</f>
        <v>96827.289000000004</v>
      </c>
      <c r="K106" s="500">
        <f t="shared" si="3"/>
        <v>1</v>
      </c>
      <c r="L106" s="500">
        <f t="shared" si="2"/>
        <v>1</v>
      </c>
    </row>
    <row r="107" spans="1:12" s="86" customFormat="1" ht="12.75">
      <c r="A107" s="147" t="s">
        <v>164</v>
      </c>
      <c r="B107" s="316">
        <v>0</v>
      </c>
      <c r="C107" s="316">
        <v>0</v>
      </c>
      <c r="D107" s="317">
        <v>0</v>
      </c>
      <c r="E107" s="317">
        <v>0</v>
      </c>
      <c r="F107" s="317">
        <v>0</v>
      </c>
      <c r="G107" s="573">
        <v>0</v>
      </c>
      <c r="H107" s="622">
        <v>0</v>
      </c>
      <c r="I107" s="622">
        <v>0</v>
      </c>
      <c r="J107" s="622">
        <v>0</v>
      </c>
      <c r="K107" s="500">
        <f>+I107/$I$206</f>
        <v>0</v>
      </c>
      <c r="L107" s="500">
        <f>+J107/$J$206</f>
        <v>0</v>
      </c>
    </row>
    <row r="108" spans="1:12" s="86" customFormat="1" ht="12.75">
      <c r="A108" s="147" t="s">
        <v>777</v>
      </c>
      <c r="B108" s="316">
        <v>1292.999</v>
      </c>
      <c r="C108" s="316">
        <v>1925.1479999999999</v>
      </c>
      <c r="D108" s="317">
        <v>1173.1849999999999</v>
      </c>
      <c r="E108" s="317">
        <v>1164.989</v>
      </c>
      <c r="F108" s="317">
        <v>1120.731</v>
      </c>
      <c r="G108" s="573">
        <v>1028.635</v>
      </c>
      <c r="H108" s="622">
        <v>1871.0920000000001</v>
      </c>
      <c r="I108" s="622">
        <v>3811</v>
      </c>
      <c r="J108" s="622">
        <v>3100.7890000000002</v>
      </c>
      <c r="K108" s="500">
        <f t="shared" ref="K108:K171" si="4">+I108/$I$206</f>
        <v>8.5507864210549928E-2</v>
      </c>
      <c r="L108" s="500">
        <f t="shared" ref="L108:L171" si="5">+J108/$J$206</f>
        <v>4.7272422755019992E-2</v>
      </c>
    </row>
    <row r="109" spans="1:12" s="86" customFormat="1" ht="12.75">
      <c r="A109" s="145" t="s">
        <v>166</v>
      </c>
      <c r="B109" s="314">
        <v>0</v>
      </c>
      <c r="C109" s="314">
        <v>0</v>
      </c>
      <c r="D109" s="315">
        <v>0</v>
      </c>
      <c r="E109" s="315">
        <v>0</v>
      </c>
      <c r="F109" s="315">
        <v>0</v>
      </c>
      <c r="G109" s="572">
        <v>0</v>
      </c>
      <c r="H109" s="621">
        <v>0</v>
      </c>
      <c r="I109" s="621">
        <v>0</v>
      </c>
      <c r="J109" s="621">
        <v>0</v>
      </c>
      <c r="K109" s="500">
        <f t="shared" si="4"/>
        <v>0</v>
      </c>
      <c r="L109" s="500">
        <f t="shared" si="5"/>
        <v>0</v>
      </c>
    </row>
    <row r="110" spans="1:12" s="86" customFormat="1" ht="12.75">
      <c r="A110" s="145" t="s">
        <v>167</v>
      </c>
      <c r="B110" s="314">
        <v>0</v>
      </c>
      <c r="C110" s="314">
        <v>0</v>
      </c>
      <c r="D110" s="315">
        <v>0</v>
      </c>
      <c r="E110" s="315">
        <v>0</v>
      </c>
      <c r="F110" s="315">
        <v>0</v>
      </c>
      <c r="G110" s="572">
        <v>0</v>
      </c>
      <c r="H110" s="621">
        <v>0</v>
      </c>
      <c r="I110" s="621">
        <v>0</v>
      </c>
      <c r="J110" s="621">
        <v>0</v>
      </c>
      <c r="K110" s="500">
        <f t="shared" si="4"/>
        <v>0</v>
      </c>
      <c r="L110" s="500">
        <f t="shared" si="5"/>
        <v>0</v>
      </c>
    </row>
    <row r="111" spans="1:12" s="86" customFormat="1" ht="12.75">
      <c r="A111" s="145" t="s">
        <v>168</v>
      </c>
      <c r="B111" s="314">
        <v>1377.3710000000001</v>
      </c>
      <c r="C111" s="314">
        <v>1596.9780000000001</v>
      </c>
      <c r="D111" s="315">
        <v>2223.7330000000002</v>
      </c>
      <c r="E111" s="315">
        <v>2914.252</v>
      </c>
      <c r="F111" s="315">
        <v>2790.7939999999999</v>
      </c>
      <c r="G111" s="572">
        <v>3351.337</v>
      </c>
      <c r="H111" s="621">
        <v>3991.4259999999999</v>
      </c>
      <c r="I111" s="621">
        <v>5741</v>
      </c>
      <c r="J111" s="621">
        <v>15498.419</v>
      </c>
      <c r="K111" s="500">
        <f t="shared" si="4"/>
        <v>0.12881150575512126</v>
      </c>
      <c r="L111" s="500">
        <f t="shared" si="5"/>
        <v>0.23627786831107636</v>
      </c>
    </row>
    <row r="112" spans="1:12" s="86" customFormat="1" ht="12.75">
      <c r="A112" s="145" t="s">
        <v>169</v>
      </c>
      <c r="B112" s="314">
        <v>0</v>
      </c>
      <c r="C112" s="314">
        <v>0</v>
      </c>
      <c r="D112" s="315">
        <v>0</v>
      </c>
      <c r="E112" s="315">
        <v>0</v>
      </c>
      <c r="F112" s="315">
        <v>0</v>
      </c>
      <c r="G112" s="572">
        <v>0</v>
      </c>
      <c r="H112" s="621">
        <v>0</v>
      </c>
      <c r="I112" s="621">
        <v>0</v>
      </c>
      <c r="J112" s="621">
        <v>0</v>
      </c>
      <c r="K112" s="500">
        <f t="shared" si="4"/>
        <v>0</v>
      </c>
      <c r="L112" s="500">
        <f t="shared" si="5"/>
        <v>0</v>
      </c>
    </row>
    <row r="113" spans="1:12" s="86" customFormat="1" ht="12.75">
      <c r="A113" s="145" t="s">
        <v>170</v>
      </c>
      <c r="B113" s="314">
        <v>0</v>
      </c>
      <c r="C113" s="314">
        <v>0</v>
      </c>
      <c r="D113" s="315">
        <v>0</v>
      </c>
      <c r="E113" s="315">
        <v>0</v>
      </c>
      <c r="F113" s="315">
        <v>0</v>
      </c>
      <c r="G113" s="572">
        <v>0</v>
      </c>
      <c r="H113" s="621">
        <v>0</v>
      </c>
      <c r="I113" s="621">
        <v>0</v>
      </c>
      <c r="J113" s="621">
        <v>0</v>
      </c>
      <c r="K113" s="500">
        <f t="shared" si="4"/>
        <v>0</v>
      </c>
      <c r="L113" s="500">
        <f t="shared" si="5"/>
        <v>0</v>
      </c>
    </row>
    <row r="114" spans="1:12" s="86" customFormat="1" ht="12.75">
      <c r="A114" s="145" t="s">
        <v>171</v>
      </c>
      <c r="B114" s="314">
        <v>78.936999999999998</v>
      </c>
      <c r="C114" s="314">
        <v>157.07400000000001</v>
      </c>
      <c r="D114" s="315">
        <v>142.59200000000001</v>
      </c>
      <c r="E114" s="315">
        <v>46.988999999999997</v>
      </c>
      <c r="F114" s="315">
        <v>86.055000000000007</v>
      </c>
      <c r="G114" s="572">
        <v>91.331999999999994</v>
      </c>
      <c r="H114" s="621">
        <v>0</v>
      </c>
      <c r="I114" s="621">
        <v>0</v>
      </c>
      <c r="J114" s="621">
        <v>0</v>
      </c>
      <c r="K114" s="500">
        <f t="shared" si="4"/>
        <v>0</v>
      </c>
      <c r="L114" s="500">
        <f t="shared" si="5"/>
        <v>0</v>
      </c>
    </row>
    <row r="115" spans="1:12" s="86" customFormat="1" ht="12.75">
      <c r="A115" s="145" t="s">
        <v>172</v>
      </c>
      <c r="B115" s="314">
        <v>0</v>
      </c>
      <c r="C115" s="314">
        <v>0</v>
      </c>
      <c r="D115" s="315">
        <v>0</v>
      </c>
      <c r="E115" s="315">
        <v>0</v>
      </c>
      <c r="F115" s="315">
        <v>0</v>
      </c>
      <c r="G115" s="572">
        <v>0</v>
      </c>
      <c r="H115" s="621">
        <v>0</v>
      </c>
      <c r="I115" s="621">
        <v>0</v>
      </c>
      <c r="J115" s="621">
        <v>0</v>
      </c>
      <c r="K115" s="500">
        <f t="shared" si="4"/>
        <v>0</v>
      </c>
      <c r="L115" s="500">
        <f t="shared" si="5"/>
        <v>0</v>
      </c>
    </row>
    <row r="116" spans="1:12" s="86" customFormat="1" ht="12.75">
      <c r="A116" s="145" t="s">
        <v>173</v>
      </c>
      <c r="B116" s="314">
        <v>0</v>
      </c>
      <c r="C116" s="314">
        <v>0</v>
      </c>
      <c r="D116" s="315">
        <v>0</v>
      </c>
      <c r="E116" s="315">
        <v>0</v>
      </c>
      <c r="F116" s="315">
        <v>0</v>
      </c>
      <c r="G116" s="572">
        <v>0</v>
      </c>
      <c r="H116" s="621">
        <v>0</v>
      </c>
      <c r="I116" s="621">
        <v>0</v>
      </c>
      <c r="J116" s="621">
        <v>0</v>
      </c>
      <c r="K116" s="500">
        <f t="shared" si="4"/>
        <v>0</v>
      </c>
      <c r="L116" s="500">
        <f t="shared" si="5"/>
        <v>0</v>
      </c>
    </row>
    <row r="117" spans="1:12" s="86" customFormat="1" ht="12.75">
      <c r="A117" s="145" t="s">
        <v>174</v>
      </c>
      <c r="B117" s="314">
        <v>0</v>
      </c>
      <c r="C117" s="314">
        <v>0</v>
      </c>
      <c r="D117" s="315">
        <v>0</v>
      </c>
      <c r="E117" s="315">
        <v>0</v>
      </c>
      <c r="F117" s="315">
        <v>0</v>
      </c>
      <c r="G117" s="572">
        <v>0</v>
      </c>
      <c r="H117" s="621">
        <v>0</v>
      </c>
      <c r="I117" s="621">
        <v>0</v>
      </c>
      <c r="J117" s="621">
        <v>0</v>
      </c>
      <c r="K117" s="500">
        <f t="shared" si="4"/>
        <v>0</v>
      </c>
      <c r="L117" s="500">
        <f t="shared" si="5"/>
        <v>0</v>
      </c>
    </row>
    <row r="118" spans="1:12" s="86" customFormat="1" ht="12.75">
      <c r="A118" s="145" t="s">
        <v>175</v>
      </c>
      <c r="B118" s="314">
        <v>0</v>
      </c>
      <c r="C118" s="314">
        <v>0</v>
      </c>
      <c r="D118" s="315">
        <v>0</v>
      </c>
      <c r="E118" s="315">
        <v>0</v>
      </c>
      <c r="F118" s="315">
        <v>0</v>
      </c>
      <c r="G118" s="572">
        <v>0</v>
      </c>
      <c r="H118" s="621">
        <v>0</v>
      </c>
      <c r="I118" s="621">
        <v>0</v>
      </c>
      <c r="J118" s="621">
        <v>0</v>
      </c>
      <c r="K118" s="500">
        <f t="shared" si="4"/>
        <v>0</v>
      </c>
      <c r="L118" s="500">
        <f t="shared" si="5"/>
        <v>0</v>
      </c>
    </row>
    <row r="119" spans="1:12" s="86" customFormat="1" ht="12.75">
      <c r="A119" s="145" t="s">
        <v>176</v>
      </c>
      <c r="B119" s="314">
        <v>0</v>
      </c>
      <c r="C119" s="314">
        <v>0</v>
      </c>
      <c r="D119" s="315">
        <v>0</v>
      </c>
      <c r="E119" s="315">
        <v>0</v>
      </c>
      <c r="F119" s="315">
        <v>0</v>
      </c>
      <c r="G119" s="572">
        <v>0</v>
      </c>
      <c r="H119" s="621">
        <v>0</v>
      </c>
      <c r="I119" s="621">
        <v>0</v>
      </c>
      <c r="J119" s="621">
        <v>0</v>
      </c>
      <c r="K119" s="500">
        <f t="shared" si="4"/>
        <v>0</v>
      </c>
      <c r="L119" s="500">
        <f t="shared" si="5"/>
        <v>0</v>
      </c>
    </row>
    <row r="120" spans="1:12" s="86" customFormat="1" ht="12.75">
      <c r="A120" s="145" t="s">
        <v>177</v>
      </c>
      <c r="B120" s="314">
        <v>0</v>
      </c>
      <c r="C120" s="314">
        <v>0</v>
      </c>
      <c r="D120" s="315">
        <v>0</v>
      </c>
      <c r="E120" s="315">
        <v>0</v>
      </c>
      <c r="F120" s="315">
        <v>14246.272999999999</v>
      </c>
      <c r="G120" s="572">
        <v>11977.321</v>
      </c>
      <c r="H120" s="621">
        <v>0</v>
      </c>
      <c r="I120" s="621">
        <v>15039</v>
      </c>
      <c r="J120" s="621">
        <v>27785.846000000001</v>
      </c>
      <c r="K120" s="500">
        <f t="shared" si="4"/>
        <v>0.33743184724808722</v>
      </c>
      <c r="L120" s="500">
        <f t="shared" si="5"/>
        <v>0.4236032373431024</v>
      </c>
    </row>
    <row r="121" spans="1:12" s="86" customFormat="1" ht="12.75">
      <c r="A121" s="145" t="s">
        <v>178</v>
      </c>
      <c r="B121" s="314">
        <v>888.71299999999997</v>
      </c>
      <c r="C121" s="314">
        <v>821.96299999999997</v>
      </c>
      <c r="D121" s="315">
        <v>925.29300000000001</v>
      </c>
      <c r="E121" s="315">
        <v>1018.024</v>
      </c>
      <c r="F121" s="315">
        <v>1102.221</v>
      </c>
      <c r="G121" s="572">
        <v>2090.346</v>
      </c>
      <c r="H121" s="621">
        <v>1176.672</v>
      </c>
      <c r="I121" s="621">
        <v>1483</v>
      </c>
      <c r="J121" s="621">
        <v>1755.2570000000001</v>
      </c>
      <c r="K121" s="500">
        <f t="shared" si="4"/>
        <v>3.3274248917408961E-2</v>
      </c>
      <c r="L121" s="500">
        <f t="shared" si="5"/>
        <v>2.6759399284410557E-2</v>
      </c>
    </row>
    <row r="122" spans="1:12" s="86" customFormat="1" ht="12.75">
      <c r="A122" s="145" t="s">
        <v>179</v>
      </c>
      <c r="B122" s="314">
        <v>40.18</v>
      </c>
      <c r="C122" s="314">
        <v>39.332000000000001</v>
      </c>
      <c r="D122" s="315">
        <v>34.79</v>
      </c>
      <c r="E122" s="315">
        <v>70.286000000000001</v>
      </c>
      <c r="F122" s="315">
        <v>54.991</v>
      </c>
      <c r="G122" s="572">
        <v>526.11699999999996</v>
      </c>
      <c r="H122" s="621">
        <v>51.793999999999997</v>
      </c>
      <c r="I122" s="621">
        <v>22</v>
      </c>
      <c r="J122" s="621">
        <v>36.622</v>
      </c>
      <c r="K122" s="500">
        <f t="shared" si="4"/>
        <v>4.9361663936817071E-4</v>
      </c>
      <c r="L122" s="500">
        <f t="shared" si="5"/>
        <v>5.5831295393989793E-4</v>
      </c>
    </row>
    <row r="123" spans="1:12" s="86" customFormat="1" ht="12.75">
      <c r="A123" s="145" t="s">
        <v>180</v>
      </c>
      <c r="B123" s="314">
        <v>14.093</v>
      </c>
      <c r="C123" s="314">
        <v>17.41</v>
      </c>
      <c r="D123" s="315">
        <v>12.475</v>
      </c>
      <c r="E123" s="315">
        <v>36.646000000000001</v>
      </c>
      <c r="F123" s="315">
        <v>11.71</v>
      </c>
      <c r="G123" s="572">
        <v>30.66</v>
      </c>
      <c r="H123" s="621">
        <v>12.375</v>
      </c>
      <c r="I123" s="621">
        <v>13</v>
      </c>
      <c r="J123" s="621">
        <v>33.497999999999998</v>
      </c>
      <c r="K123" s="500">
        <f t="shared" si="4"/>
        <v>2.9168255962664632E-4</v>
      </c>
      <c r="L123" s="500">
        <f t="shared" si="5"/>
        <v>5.1068667279445957E-4</v>
      </c>
    </row>
    <row r="124" spans="1:12" s="86" customFormat="1" ht="12.75">
      <c r="A124" s="145" t="s">
        <v>181</v>
      </c>
      <c r="B124" s="314">
        <v>580.29399999999998</v>
      </c>
      <c r="C124" s="314">
        <v>518.43100000000004</v>
      </c>
      <c r="D124" s="315">
        <v>638.01</v>
      </c>
      <c r="E124" s="315">
        <v>669.85400000000004</v>
      </c>
      <c r="F124" s="315">
        <v>714.76599999999996</v>
      </c>
      <c r="G124" s="572">
        <v>723.33900000000006</v>
      </c>
      <c r="H124" s="621">
        <v>924.91300000000001</v>
      </c>
      <c r="I124" s="621">
        <v>864</v>
      </c>
      <c r="J124" s="621">
        <v>1102.279</v>
      </c>
      <c r="K124" s="500">
        <f t="shared" si="4"/>
        <v>1.9385671655186339E-2</v>
      </c>
      <c r="L124" s="500">
        <f t="shared" si="5"/>
        <v>1.6804561317129506E-2</v>
      </c>
    </row>
    <row r="125" spans="1:12" s="86" customFormat="1" ht="12.75">
      <c r="A125" s="145" t="s">
        <v>778</v>
      </c>
      <c r="B125" s="314">
        <v>0</v>
      </c>
      <c r="C125" s="314">
        <v>0</v>
      </c>
      <c r="D125" s="315">
        <v>0</v>
      </c>
      <c r="E125" s="315">
        <v>0</v>
      </c>
      <c r="F125" s="315">
        <v>0</v>
      </c>
      <c r="G125" s="572">
        <v>0</v>
      </c>
      <c r="H125" s="621">
        <v>0</v>
      </c>
      <c r="I125" s="621">
        <v>0</v>
      </c>
      <c r="J125" s="621">
        <v>0</v>
      </c>
      <c r="K125" s="500">
        <f t="shared" si="4"/>
        <v>0</v>
      </c>
      <c r="L125" s="500">
        <f t="shared" si="5"/>
        <v>0</v>
      </c>
    </row>
    <row r="126" spans="1:12" s="86" customFormat="1" ht="12.75">
      <c r="A126" s="145" t="s">
        <v>779</v>
      </c>
      <c r="B126" s="314">
        <v>41.808999999999997</v>
      </c>
      <c r="C126" s="314">
        <v>52.024999999999999</v>
      </c>
      <c r="D126" s="315">
        <v>52.055</v>
      </c>
      <c r="E126" s="315">
        <v>0</v>
      </c>
      <c r="F126" s="315">
        <v>4.5730000000000004</v>
      </c>
      <c r="G126" s="572">
        <v>0</v>
      </c>
      <c r="H126" s="621">
        <v>0</v>
      </c>
      <c r="I126" s="621">
        <v>296</v>
      </c>
      <c r="J126" s="621">
        <v>282.70100000000002</v>
      </c>
      <c r="K126" s="500">
        <f t="shared" si="4"/>
        <v>6.641387511499024E-3</v>
      </c>
      <c r="L126" s="500">
        <f t="shared" si="5"/>
        <v>4.3098582926045298E-3</v>
      </c>
    </row>
    <row r="127" spans="1:12" s="86" customFormat="1" ht="12.75">
      <c r="A127" s="147" t="s">
        <v>182</v>
      </c>
      <c r="B127" s="316">
        <v>3021.3969999999999</v>
      </c>
      <c r="C127" s="316">
        <v>3203.2130000000002</v>
      </c>
      <c r="D127" s="317">
        <v>4028.9479999999999</v>
      </c>
      <c r="E127" s="317">
        <v>4756.0510000000004</v>
      </c>
      <c r="F127" s="317">
        <v>19011.383000000002</v>
      </c>
      <c r="G127" s="573">
        <v>18790.452000000001</v>
      </c>
      <c r="H127" s="622">
        <v>6157.18</v>
      </c>
      <c r="I127" s="622">
        <v>23456</v>
      </c>
      <c r="J127" s="622">
        <v>46494.622000000003</v>
      </c>
      <c r="K127" s="500">
        <f t="shared" si="4"/>
        <v>0.52628508604635504</v>
      </c>
      <c r="L127" s="500">
        <f t="shared" si="5"/>
        <v>0.7088239241750578</v>
      </c>
    </row>
    <row r="128" spans="1:12" s="86" customFormat="1" ht="12.75">
      <c r="A128" s="147" t="s">
        <v>183</v>
      </c>
      <c r="B128" s="316">
        <v>1991.4949999999999</v>
      </c>
      <c r="C128" s="316">
        <v>2734.1559999999999</v>
      </c>
      <c r="D128" s="317">
        <v>6733.8</v>
      </c>
      <c r="E128" s="317">
        <v>3592.4949999999999</v>
      </c>
      <c r="F128" s="317">
        <v>3579.42</v>
      </c>
      <c r="G128" s="573">
        <v>3865.991</v>
      </c>
      <c r="H128" s="622">
        <v>4070.431</v>
      </c>
      <c r="I128" s="622">
        <v>4336</v>
      </c>
      <c r="J128" s="622">
        <v>5001.5959999999995</v>
      </c>
      <c r="K128" s="500">
        <f t="shared" si="4"/>
        <v>9.7287352195472188E-2</v>
      </c>
      <c r="L128" s="500">
        <f t="shared" si="5"/>
        <v>7.6250773774615727E-2</v>
      </c>
    </row>
    <row r="129" spans="1:12" s="86" customFormat="1" ht="12.75">
      <c r="A129" s="147" t="s">
        <v>184</v>
      </c>
      <c r="B129" s="316">
        <v>2072.5230000000001</v>
      </c>
      <c r="C129" s="316">
        <v>2162.9569999999999</v>
      </c>
      <c r="D129" s="317">
        <v>2466.0500000000002</v>
      </c>
      <c r="E129" s="317">
        <v>2866.3739999999998</v>
      </c>
      <c r="F129" s="317">
        <v>3009.8159999999998</v>
      </c>
      <c r="G129" s="573">
        <v>3144.3380000000002</v>
      </c>
      <c r="H129" s="622">
        <v>3301.1880000000001</v>
      </c>
      <c r="I129" s="622">
        <v>3760</v>
      </c>
      <c r="J129" s="622">
        <v>4072.259</v>
      </c>
      <c r="K129" s="500">
        <f t="shared" si="4"/>
        <v>8.436357109201463E-2</v>
      </c>
      <c r="L129" s="500">
        <f t="shared" si="5"/>
        <v>6.2082763134136167E-2</v>
      </c>
    </row>
    <row r="130" spans="1:12" s="86" customFormat="1" ht="12.75">
      <c r="A130" s="145" t="s">
        <v>185</v>
      </c>
      <c r="B130" s="314">
        <v>1579.3679999999999</v>
      </c>
      <c r="C130" s="314">
        <v>1815.86</v>
      </c>
      <c r="D130" s="315">
        <v>2546.1750000000002</v>
      </c>
      <c r="E130" s="315">
        <v>3212.942</v>
      </c>
      <c r="F130" s="315">
        <v>3384.1590000000001</v>
      </c>
      <c r="G130" s="572">
        <v>3735.3209999999999</v>
      </c>
      <c r="H130" s="621">
        <v>3785.2440000000001</v>
      </c>
      <c r="I130" s="621">
        <v>4053</v>
      </c>
      <c r="J130" s="621">
        <v>3081.431</v>
      </c>
      <c r="K130" s="500">
        <f t="shared" si="4"/>
        <v>9.0937647243599817E-2</v>
      </c>
      <c r="L130" s="500">
        <f t="shared" si="5"/>
        <v>4.6977304461033625E-2</v>
      </c>
    </row>
    <row r="131" spans="1:12" s="86" customFormat="1" ht="12.75">
      <c r="A131" s="145" t="s">
        <v>186</v>
      </c>
      <c r="B131" s="314">
        <v>1563.76</v>
      </c>
      <c r="C131" s="314">
        <v>1988.4069999999999</v>
      </c>
      <c r="D131" s="315">
        <v>2607.4229999999998</v>
      </c>
      <c r="E131" s="315">
        <v>2650.7539999999999</v>
      </c>
      <c r="F131" s="315">
        <v>2533.5630000000001</v>
      </c>
      <c r="G131" s="572">
        <v>2799.605</v>
      </c>
      <c r="H131" s="621">
        <v>2690.4209999999998</v>
      </c>
      <c r="I131" s="621">
        <v>2580</v>
      </c>
      <c r="J131" s="621">
        <v>2393.3530000000001</v>
      </c>
      <c r="K131" s="500">
        <f t="shared" si="4"/>
        <v>5.7887769525903653E-2</v>
      </c>
      <c r="L131" s="500">
        <f t="shared" si="5"/>
        <v>3.6487356868847041E-2</v>
      </c>
    </row>
    <row r="132" spans="1:12" s="86" customFormat="1" ht="12.75">
      <c r="A132" s="145" t="s">
        <v>187</v>
      </c>
      <c r="B132" s="314">
        <v>0</v>
      </c>
      <c r="C132" s="314">
        <v>0</v>
      </c>
      <c r="D132" s="315">
        <v>0</v>
      </c>
      <c r="E132" s="315">
        <v>0</v>
      </c>
      <c r="F132" s="315">
        <v>0</v>
      </c>
      <c r="G132" s="572">
        <v>0</v>
      </c>
      <c r="H132" s="621">
        <v>0</v>
      </c>
      <c r="I132" s="621">
        <v>0</v>
      </c>
      <c r="J132" s="621">
        <v>0</v>
      </c>
      <c r="K132" s="500">
        <f t="shared" si="4"/>
        <v>0</v>
      </c>
      <c r="L132" s="500">
        <f t="shared" si="5"/>
        <v>0</v>
      </c>
    </row>
    <row r="133" spans="1:12" s="86" customFormat="1" ht="12.75">
      <c r="A133" s="145" t="s">
        <v>780</v>
      </c>
      <c r="B133" s="314">
        <v>0</v>
      </c>
      <c r="C133" s="314">
        <v>0</v>
      </c>
      <c r="D133" s="315">
        <v>0</v>
      </c>
      <c r="E133" s="315">
        <v>0</v>
      </c>
      <c r="F133" s="315">
        <v>0</v>
      </c>
      <c r="G133" s="572">
        <v>0</v>
      </c>
      <c r="H133" s="621">
        <v>0</v>
      </c>
      <c r="I133" s="621">
        <v>0</v>
      </c>
      <c r="J133" s="621">
        <v>0</v>
      </c>
      <c r="K133" s="500">
        <f t="shared" si="4"/>
        <v>0</v>
      </c>
      <c r="L133" s="500">
        <f t="shared" si="5"/>
        <v>0</v>
      </c>
    </row>
    <row r="134" spans="1:12" s="86" customFormat="1" ht="12.75">
      <c r="A134" s="145" t="s">
        <v>188</v>
      </c>
      <c r="B134" s="314">
        <v>0</v>
      </c>
      <c r="C134" s="314">
        <v>0</v>
      </c>
      <c r="D134" s="315">
        <v>0</v>
      </c>
      <c r="E134" s="315">
        <v>0</v>
      </c>
      <c r="F134" s="315">
        <v>0</v>
      </c>
      <c r="G134" s="572">
        <v>0</v>
      </c>
      <c r="H134" s="621">
        <v>0</v>
      </c>
      <c r="I134" s="621">
        <v>0</v>
      </c>
      <c r="J134" s="621">
        <v>0</v>
      </c>
      <c r="K134" s="500">
        <f t="shared" si="4"/>
        <v>0</v>
      </c>
      <c r="L134" s="500">
        <f t="shared" si="5"/>
        <v>0</v>
      </c>
    </row>
    <row r="135" spans="1:12" s="86" customFormat="1" ht="12.75">
      <c r="A135" s="145" t="s">
        <v>189</v>
      </c>
      <c r="B135" s="314">
        <v>4.9219999999999997</v>
      </c>
      <c r="C135" s="314">
        <v>7.9349999999999996</v>
      </c>
      <c r="D135" s="315">
        <v>6.5819999999999999</v>
      </c>
      <c r="E135" s="315">
        <v>0.93100000000000005</v>
      </c>
      <c r="F135" s="315">
        <v>0.58699999999999997</v>
      </c>
      <c r="G135" s="572">
        <v>49.942999999999998</v>
      </c>
      <c r="H135" s="621">
        <v>41.561</v>
      </c>
      <c r="I135" s="621">
        <v>133</v>
      </c>
      <c r="J135" s="621">
        <v>398.96699999999998</v>
      </c>
      <c r="K135" s="500">
        <f t="shared" si="4"/>
        <v>2.9841369561803047E-3</v>
      </c>
      <c r="L135" s="500">
        <f t="shared" si="5"/>
        <v>6.0823670005608439E-3</v>
      </c>
    </row>
    <row r="136" spans="1:12" s="86" customFormat="1" ht="12.75">
      <c r="A136" s="145" t="s">
        <v>190</v>
      </c>
      <c r="B136" s="314">
        <v>155.9</v>
      </c>
      <c r="C136" s="314">
        <v>101.117</v>
      </c>
      <c r="D136" s="315">
        <v>107.413</v>
      </c>
      <c r="E136" s="315">
        <v>283.108</v>
      </c>
      <c r="F136" s="315">
        <v>95.287999999999997</v>
      </c>
      <c r="G136" s="572">
        <v>208.018</v>
      </c>
      <c r="H136" s="621">
        <v>132.62200000000001</v>
      </c>
      <c r="I136" s="621">
        <v>95</v>
      </c>
      <c r="J136" s="621">
        <v>95</v>
      </c>
      <c r="K136" s="500">
        <f t="shared" si="4"/>
        <v>2.131526397271646E-3</v>
      </c>
      <c r="L136" s="500">
        <f t="shared" si="5"/>
        <v>1.4483024035904729E-3</v>
      </c>
    </row>
    <row r="137" spans="1:12" s="86" customFormat="1" ht="12.75">
      <c r="A137" s="145" t="s">
        <v>191</v>
      </c>
      <c r="B137" s="314">
        <v>0</v>
      </c>
      <c r="C137" s="314">
        <v>0</v>
      </c>
      <c r="D137" s="315">
        <v>0</v>
      </c>
      <c r="E137" s="315">
        <v>0</v>
      </c>
      <c r="F137" s="315">
        <v>0</v>
      </c>
      <c r="G137" s="572">
        <v>0</v>
      </c>
      <c r="H137" s="621">
        <v>0</v>
      </c>
      <c r="I137" s="621">
        <v>0</v>
      </c>
      <c r="J137" s="621">
        <v>0</v>
      </c>
      <c r="K137" s="500">
        <f t="shared" si="4"/>
        <v>0</v>
      </c>
      <c r="L137" s="500">
        <f t="shared" si="5"/>
        <v>0</v>
      </c>
    </row>
    <row r="138" spans="1:12" s="86" customFormat="1" ht="12.75">
      <c r="A138" s="145" t="s">
        <v>781</v>
      </c>
      <c r="B138" s="314">
        <v>514.75400000000002</v>
      </c>
      <c r="C138" s="314">
        <v>769.24900000000002</v>
      </c>
      <c r="D138" s="315">
        <v>332.78399999999999</v>
      </c>
      <c r="E138" s="315">
        <v>433.64400000000001</v>
      </c>
      <c r="F138" s="315">
        <v>432.34699999999998</v>
      </c>
      <c r="G138" s="572">
        <v>908.23199999999997</v>
      </c>
      <c r="H138" s="621">
        <v>369.76600000000002</v>
      </c>
      <c r="I138" s="621">
        <v>1133</v>
      </c>
      <c r="J138" s="621">
        <v>377.20499999999998</v>
      </c>
      <c r="K138" s="500">
        <f t="shared" si="4"/>
        <v>2.5421256927460792E-2</v>
      </c>
      <c r="L138" s="500">
        <f t="shared" si="5"/>
        <v>5.7505990331194138E-3</v>
      </c>
    </row>
    <row r="139" spans="1:12" s="86" customFormat="1" ht="12.75">
      <c r="A139" s="147" t="s">
        <v>192</v>
      </c>
      <c r="B139" s="316">
        <v>3818.7040000000002</v>
      </c>
      <c r="C139" s="316">
        <v>4682.5680000000002</v>
      </c>
      <c r="D139" s="317">
        <v>5600.3770000000004</v>
      </c>
      <c r="E139" s="317">
        <v>6581.3789999999999</v>
      </c>
      <c r="F139" s="317">
        <v>6445.9440000000004</v>
      </c>
      <c r="G139" s="573">
        <v>7701.1189999999997</v>
      </c>
      <c r="H139" s="622">
        <v>7019.6139999999996</v>
      </c>
      <c r="I139" s="622">
        <v>7994</v>
      </c>
      <c r="J139" s="622">
        <v>6345.9559999999992</v>
      </c>
      <c r="K139" s="500">
        <f t="shared" si="4"/>
        <v>0.17936233705041621</v>
      </c>
      <c r="L139" s="500">
        <f t="shared" si="5"/>
        <v>9.6745929767151392E-2</v>
      </c>
    </row>
    <row r="140" spans="1:12" s="86" customFormat="1" ht="12.75">
      <c r="A140" s="147" t="s">
        <v>193</v>
      </c>
      <c r="B140" s="316">
        <v>2727.527</v>
      </c>
      <c r="C140" s="316">
        <v>2877.62</v>
      </c>
      <c r="D140" s="317">
        <v>1977.67</v>
      </c>
      <c r="E140" s="317">
        <v>2385.5329999999999</v>
      </c>
      <c r="F140" s="317">
        <v>3556.047</v>
      </c>
      <c r="G140" s="573">
        <v>2015.712</v>
      </c>
      <c r="H140" s="622">
        <v>1469.944</v>
      </c>
      <c r="I140" s="622">
        <v>929</v>
      </c>
      <c r="J140" s="622">
        <v>938.81399999999996</v>
      </c>
      <c r="K140" s="500">
        <f t="shared" si="4"/>
        <v>2.0844084453319572E-2</v>
      </c>
      <c r="L140" s="500">
        <f t="shared" si="5"/>
        <v>1.4312490239204065E-2</v>
      </c>
    </row>
    <row r="141" spans="1:12" s="86" customFormat="1" ht="12.75">
      <c r="A141" s="145" t="s">
        <v>194</v>
      </c>
      <c r="B141" s="314">
        <v>0</v>
      </c>
      <c r="C141" s="314">
        <v>0</v>
      </c>
      <c r="D141" s="315">
        <v>0</v>
      </c>
      <c r="E141" s="315">
        <v>0</v>
      </c>
      <c r="F141" s="315">
        <v>0</v>
      </c>
      <c r="G141" s="572">
        <v>0</v>
      </c>
      <c r="H141" s="621">
        <v>0</v>
      </c>
      <c r="I141" s="621">
        <v>0</v>
      </c>
      <c r="J141" s="621">
        <v>0</v>
      </c>
      <c r="K141" s="500">
        <f t="shared" si="4"/>
        <v>0</v>
      </c>
      <c r="L141" s="500">
        <f t="shared" si="5"/>
        <v>0</v>
      </c>
    </row>
    <row r="142" spans="1:12" s="86" customFormat="1" ht="12.75">
      <c r="A142" s="145" t="s">
        <v>195</v>
      </c>
      <c r="B142" s="314">
        <v>0</v>
      </c>
      <c r="C142" s="314">
        <v>0</v>
      </c>
      <c r="D142" s="315">
        <v>0</v>
      </c>
      <c r="E142" s="315">
        <v>0</v>
      </c>
      <c r="F142" s="315">
        <v>0</v>
      </c>
      <c r="G142" s="572">
        <v>0</v>
      </c>
      <c r="H142" s="621">
        <v>0</v>
      </c>
      <c r="I142" s="621">
        <v>0</v>
      </c>
      <c r="J142" s="621">
        <v>0</v>
      </c>
      <c r="K142" s="500">
        <f t="shared" si="4"/>
        <v>0</v>
      </c>
      <c r="L142" s="500">
        <f t="shared" si="5"/>
        <v>0</v>
      </c>
    </row>
    <row r="143" spans="1:12" s="86" customFormat="1" ht="12.75">
      <c r="A143" s="145" t="s">
        <v>196</v>
      </c>
      <c r="B143" s="314">
        <v>0</v>
      </c>
      <c r="C143" s="314">
        <v>0</v>
      </c>
      <c r="D143" s="315">
        <v>0</v>
      </c>
      <c r="E143" s="315">
        <v>0</v>
      </c>
      <c r="F143" s="315">
        <v>0</v>
      </c>
      <c r="G143" s="572">
        <v>0</v>
      </c>
      <c r="H143" s="621">
        <v>0</v>
      </c>
      <c r="I143" s="621">
        <v>0</v>
      </c>
      <c r="J143" s="621">
        <v>0</v>
      </c>
      <c r="K143" s="500">
        <f t="shared" si="4"/>
        <v>0</v>
      </c>
      <c r="L143" s="500">
        <f t="shared" si="5"/>
        <v>0</v>
      </c>
    </row>
    <row r="144" spans="1:12" s="86" customFormat="1" ht="12.75">
      <c r="A144" s="145" t="s">
        <v>197</v>
      </c>
      <c r="B144" s="314">
        <v>0</v>
      </c>
      <c r="C144" s="314">
        <v>0</v>
      </c>
      <c r="D144" s="315">
        <v>0</v>
      </c>
      <c r="E144" s="315">
        <v>0</v>
      </c>
      <c r="F144" s="315">
        <v>0</v>
      </c>
      <c r="G144" s="572">
        <v>0</v>
      </c>
      <c r="H144" s="621">
        <v>0</v>
      </c>
      <c r="I144" s="621">
        <v>0</v>
      </c>
      <c r="J144" s="621">
        <v>0</v>
      </c>
      <c r="K144" s="500">
        <f t="shared" si="4"/>
        <v>0</v>
      </c>
      <c r="L144" s="500">
        <f t="shared" si="5"/>
        <v>0</v>
      </c>
    </row>
    <row r="145" spans="1:12" s="86" customFormat="1" ht="12.75">
      <c r="A145" s="145" t="s">
        <v>198</v>
      </c>
      <c r="B145" s="314">
        <v>0</v>
      </c>
      <c r="C145" s="314">
        <v>0</v>
      </c>
      <c r="D145" s="315">
        <v>0</v>
      </c>
      <c r="E145" s="315">
        <v>0</v>
      </c>
      <c r="F145" s="315">
        <v>0</v>
      </c>
      <c r="G145" s="572">
        <v>0</v>
      </c>
      <c r="H145" s="621">
        <v>0</v>
      </c>
      <c r="I145" s="621">
        <v>0</v>
      </c>
      <c r="J145" s="621">
        <v>0</v>
      </c>
      <c r="K145" s="500">
        <f t="shared" si="4"/>
        <v>0</v>
      </c>
      <c r="L145" s="500">
        <f t="shared" si="5"/>
        <v>0</v>
      </c>
    </row>
    <row r="146" spans="1:12" s="86" customFormat="1" ht="12.75">
      <c r="A146" s="145" t="s">
        <v>199</v>
      </c>
      <c r="B146" s="314">
        <v>0</v>
      </c>
      <c r="C146" s="314">
        <v>0</v>
      </c>
      <c r="D146" s="315">
        <v>0</v>
      </c>
      <c r="E146" s="315">
        <v>0</v>
      </c>
      <c r="F146" s="315">
        <v>0</v>
      </c>
      <c r="G146" s="572">
        <v>0</v>
      </c>
      <c r="H146" s="621">
        <v>0</v>
      </c>
      <c r="I146" s="621">
        <v>0</v>
      </c>
      <c r="J146" s="621">
        <v>0</v>
      </c>
      <c r="K146" s="500">
        <f t="shared" si="4"/>
        <v>0</v>
      </c>
      <c r="L146" s="500">
        <f t="shared" si="5"/>
        <v>0</v>
      </c>
    </row>
    <row r="147" spans="1:12" s="86" customFormat="1" ht="12.75">
      <c r="A147" s="145" t="s">
        <v>782</v>
      </c>
      <c r="B147" s="314">
        <v>0</v>
      </c>
      <c r="C147" s="314">
        <v>0</v>
      </c>
      <c r="D147" s="315">
        <v>0</v>
      </c>
      <c r="E147" s="315">
        <v>0</v>
      </c>
      <c r="F147" s="315">
        <v>0</v>
      </c>
      <c r="G147" s="572">
        <v>0</v>
      </c>
      <c r="H147" s="621">
        <v>0</v>
      </c>
      <c r="I147" s="621">
        <v>0</v>
      </c>
      <c r="J147" s="621">
        <v>0</v>
      </c>
      <c r="K147" s="500">
        <f t="shared" si="4"/>
        <v>0</v>
      </c>
      <c r="L147" s="500">
        <f t="shared" si="5"/>
        <v>0</v>
      </c>
    </row>
    <row r="148" spans="1:12" s="86" customFormat="1" ht="12.75">
      <c r="A148" s="145" t="s">
        <v>200</v>
      </c>
      <c r="B148" s="314">
        <v>0</v>
      </c>
      <c r="C148" s="314">
        <v>0</v>
      </c>
      <c r="D148" s="315">
        <v>0</v>
      </c>
      <c r="E148" s="315">
        <v>0</v>
      </c>
      <c r="F148" s="315">
        <v>0</v>
      </c>
      <c r="G148" s="572">
        <v>0</v>
      </c>
      <c r="H148" s="621">
        <v>0</v>
      </c>
      <c r="I148" s="621">
        <v>0</v>
      </c>
      <c r="J148" s="621">
        <v>0</v>
      </c>
      <c r="K148" s="500">
        <f t="shared" si="4"/>
        <v>0</v>
      </c>
      <c r="L148" s="500">
        <f t="shared" si="5"/>
        <v>0</v>
      </c>
    </row>
    <row r="149" spans="1:12" s="86" customFormat="1" ht="12.75">
      <c r="A149" s="145" t="s">
        <v>201</v>
      </c>
      <c r="B149" s="314">
        <v>0</v>
      </c>
      <c r="C149" s="314">
        <v>0</v>
      </c>
      <c r="D149" s="315">
        <v>0</v>
      </c>
      <c r="E149" s="315">
        <v>0</v>
      </c>
      <c r="F149" s="315">
        <v>0</v>
      </c>
      <c r="G149" s="572">
        <v>0</v>
      </c>
      <c r="H149" s="621">
        <v>0</v>
      </c>
      <c r="I149" s="621">
        <v>0</v>
      </c>
      <c r="J149" s="621">
        <v>0</v>
      </c>
      <c r="K149" s="500">
        <f t="shared" si="4"/>
        <v>0</v>
      </c>
      <c r="L149" s="500">
        <f t="shared" si="5"/>
        <v>0</v>
      </c>
    </row>
    <row r="150" spans="1:12" s="86" customFormat="1" ht="12.75">
      <c r="A150" s="147" t="s">
        <v>783</v>
      </c>
      <c r="B150" s="316">
        <v>0</v>
      </c>
      <c r="C150" s="316">
        <v>0</v>
      </c>
      <c r="D150" s="317">
        <v>0</v>
      </c>
      <c r="E150" s="317">
        <v>0</v>
      </c>
      <c r="F150" s="317">
        <v>0</v>
      </c>
      <c r="G150" s="573">
        <v>0</v>
      </c>
      <c r="H150" s="622">
        <v>0</v>
      </c>
      <c r="I150" s="621">
        <v>0</v>
      </c>
      <c r="J150" s="622">
        <v>0</v>
      </c>
      <c r="K150" s="500">
        <f t="shared" si="4"/>
        <v>0</v>
      </c>
      <c r="L150" s="500">
        <f t="shared" si="5"/>
        <v>0</v>
      </c>
    </row>
    <row r="151" spans="1:12" s="86" customFormat="1" ht="12.75">
      <c r="A151" s="145" t="s">
        <v>202</v>
      </c>
      <c r="B151" s="314">
        <v>0</v>
      </c>
      <c r="C151" s="314">
        <v>0</v>
      </c>
      <c r="D151" s="315">
        <v>0</v>
      </c>
      <c r="E151" s="315">
        <v>0</v>
      </c>
      <c r="F151" s="315">
        <v>0</v>
      </c>
      <c r="G151" s="572">
        <v>0</v>
      </c>
      <c r="H151" s="621">
        <v>0</v>
      </c>
      <c r="I151" s="621">
        <v>0</v>
      </c>
      <c r="J151" s="621">
        <v>0</v>
      </c>
      <c r="K151" s="500">
        <f t="shared" si="4"/>
        <v>0</v>
      </c>
      <c r="L151" s="500">
        <f t="shared" si="5"/>
        <v>0</v>
      </c>
    </row>
    <row r="152" spans="1:12" s="86" customFormat="1" ht="12.75">
      <c r="A152" s="145" t="s">
        <v>203</v>
      </c>
      <c r="B152" s="314">
        <v>0</v>
      </c>
      <c r="C152" s="314">
        <v>0</v>
      </c>
      <c r="D152" s="315">
        <v>0</v>
      </c>
      <c r="E152" s="315">
        <v>0</v>
      </c>
      <c r="F152" s="315">
        <v>0</v>
      </c>
      <c r="G152" s="572">
        <v>0</v>
      </c>
      <c r="H152" s="621">
        <v>0</v>
      </c>
      <c r="I152" s="621">
        <v>0</v>
      </c>
      <c r="J152" s="621">
        <v>0</v>
      </c>
      <c r="K152" s="500">
        <f t="shared" si="4"/>
        <v>0</v>
      </c>
      <c r="L152" s="500">
        <f t="shared" si="5"/>
        <v>0</v>
      </c>
    </row>
    <row r="153" spans="1:12" s="86" customFormat="1" ht="12.75">
      <c r="A153" s="145" t="s">
        <v>204</v>
      </c>
      <c r="B153" s="314">
        <v>0</v>
      </c>
      <c r="C153" s="314">
        <v>0</v>
      </c>
      <c r="D153" s="315">
        <v>0</v>
      </c>
      <c r="E153" s="315">
        <v>0</v>
      </c>
      <c r="F153" s="315">
        <v>0</v>
      </c>
      <c r="G153" s="572">
        <v>0</v>
      </c>
      <c r="H153" s="621">
        <v>0</v>
      </c>
      <c r="I153" s="621">
        <v>0</v>
      </c>
      <c r="J153" s="621">
        <v>0</v>
      </c>
      <c r="K153" s="500">
        <f t="shared" si="4"/>
        <v>0</v>
      </c>
      <c r="L153" s="500">
        <f t="shared" si="5"/>
        <v>0</v>
      </c>
    </row>
    <row r="154" spans="1:12" s="86" customFormat="1" ht="12.75">
      <c r="A154" s="145" t="s">
        <v>784</v>
      </c>
      <c r="B154" s="314">
        <v>0</v>
      </c>
      <c r="C154" s="314">
        <v>0</v>
      </c>
      <c r="D154" s="315">
        <v>0</v>
      </c>
      <c r="E154" s="315">
        <v>0</v>
      </c>
      <c r="F154" s="315">
        <v>0</v>
      </c>
      <c r="G154" s="572">
        <v>0</v>
      </c>
      <c r="H154" s="621">
        <v>0</v>
      </c>
      <c r="I154" s="621">
        <v>0</v>
      </c>
      <c r="J154" s="621">
        <v>0</v>
      </c>
      <c r="K154" s="500">
        <f t="shared" si="4"/>
        <v>0</v>
      </c>
      <c r="L154" s="500">
        <f t="shared" si="5"/>
        <v>0</v>
      </c>
    </row>
    <row r="155" spans="1:12" s="86" customFormat="1" ht="12.75">
      <c r="A155" s="145" t="s">
        <v>785</v>
      </c>
      <c r="B155" s="314">
        <v>0</v>
      </c>
      <c r="C155" s="314">
        <v>0</v>
      </c>
      <c r="D155" s="315">
        <v>0</v>
      </c>
      <c r="E155" s="315">
        <v>0</v>
      </c>
      <c r="F155" s="315">
        <v>0</v>
      </c>
      <c r="G155" s="572">
        <v>0</v>
      </c>
      <c r="H155" s="621">
        <v>0</v>
      </c>
      <c r="I155" s="621">
        <v>0</v>
      </c>
      <c r="J155" s="621">
        <v>0</v>
      </c>
      <c r="K155" s="500">
        <f t="shared" si="4"/>
        <v>0</v>
      </c>
      <c r="L155" s="500">
        <f t="shared" si="5"/>
        <v>0</v>
      </c>
    </row>
    <row r="156" spans="1:12" s="86" customFormat="1" ht="12.75">
      <c r="A156" s="147" t="s">
        <v>205</v>
      </c>
      <c r="B156" s="316">
        <v>0</v>
      </c>
      <c r="C156" s="316">
        <v>0</v>
      </c>
      <c r="D156" s="317">
        <v>0</v>
      </c>
      <c r="E156" s="317">
        <v>0</v>
      </c>
      <c r="F156" s="317">
        <v>0</v>
      </c>
      <c r="G156" s="573">
        <v>0</v>
      </c>
      <c r="H156" s="622">
        <v>0</v>
      </c>
      <c r="I156" s="621">
        <v>0</v>
      </c>
      <c r="J156" s="622">
        <v>0</v>
      </c>
      <c r="K156" s="500">
        <f t="shared" si="4"/>
        <v>0</v>
      </c>
      <c r="L156" s="500">
        <f t="shared" si="5"/>
        <v>0</v>
      </c>
    </row>
    <row r="157" spans="1:12" s="86" customFormat="1" ht="12.75">
      <c r="A157" s="147" t="s">
        <v>786</v>
      </c>
      <c r="B157" s="316">
        <v>14924.645</v>
      </c>
      <c r="C157" s="316">
        <v>17585.662</v>
      </c>
      <c r="D157" s="317">
        <v>21980.03</v>
      </c>
      <c r="E157" s="317">
        <v>21346.821</v>
      </c>
      <c r="F157" s="317">
        <v>36723.341</v>
      </c>
      <c r="G157" s="573">
        <v>36546.247000000003</v>
      </c>
      <c r="H157" s="622">
        <v>23889.449000000001</v>
      </c>
      <c r="I157" s="622">
        <v>44286</v>
      </c>
      <c r="J157" s="622">
        <v>65594.035999999993</v>
      </c>
      <c r="K157" s="500">
        <f t="shared" si="4"/>
        <v>0.99365029504812763</v>
      </c>
      <c r="L157" s="500">
        <f t="shared" si="5"/>
        <v>1</v>
      </c>
    </row>
    <row r="158" spans="1:12" s="86" customFormat="1" ht="12.75">
      <c r="A158" s="147" t="s">
        <v>787</v>
      </c>
      <c r="B158" s="316">
        <v>0</v>
      </c>
      <c r="C158" s="316">
        <v>0</v>
      </c>
      <c r="D158" s="317">
        <v>0</v>
      </c>
      <c r="E158" s="317">
        <v>0</v>
      </c>
      <c r="F158" s="317">
        <v>0</v>
      </c>
      <c r="G158" s="573">
        <v>0</v>
      </c>
      <c r="H158" s="622">
        <v>0</v>
      </c>
      <c r="I158" s="622">
        <v>0</v>
      </c>
      <c r="J158" s="622">
        <v>0</v>
      </c>
      <c r="K158" s="500">
        <f t="shared" si="4"/>
        <v>0</v>
      </c>
      <c r="L158" s="500">
        <f t="shared" si="5"/>
        <v>0</v>
      </c>
    </row>
    <row r="159" spans="1:12" s="86" customFormat="1" ht="12.75">
      <c r="A159" s="147" t="s">
        <v>207</v>
      </c>
      <c r="B159" s="316">
        <v>0</v>
      </c>
      <c r="C159" s="316">
        <v>0</v>
      </c>
      <c r="D159" s="317">
        <v>0</v>
      </c>
      <c r="E159" s="317">
        <v>0</v>
      </c>
      <c r="F159" s="317">
        <v>0</v>
      </c>
      <c r="G159" s="573">
        <v>0</v>
      </c>
      <c r="H159" s="622">
        <v>0</v>
      </c>
      <c r="I159" s="622">
        <v>0</v>
      </c>
      <c r="J159" s="622">
        <v>0</v>
      </c>
      <c r="K159" s="500">
        <f t="shared" si="4"/>
        <v>0</v>
      </c>
      <c r="L159" s="500">
        <f t="shared" si="5"/>
        <v>0</v>
      </c>
    </row>
    <row r="160" spans="1:12" s="86" customFormat="1" ht="12.75">
      <c r="A160" s="145" t="s">
        <v>788</v>
      </c>
      <c r="B160" s="314">
        <v>0</v>
      </c>
      <c r="C160" s="314">
        <v>0</v>
      </c>
      <c r="D160" s="315">
        <v>0</v>
      </c>
      <c r="E160" s="315">
        <v>0</v>
      </c>
      <c r="F160" s="315">
        <v>0</v>
      </c>
      <c r="G160" s="572">
        <v>0</v>
      </c>
      <c r="H160" s="621">
        <v>0</v>
      </c>
      <c r="I160" s="621">
        <v>0</v>
      </c>
      <c r="J160" s="621">
        <v>0</v>
      </c>
      <c r="K160" s="500">
        <f t="shared" si="4"/>
        <v>0</v>
      </c>
      <c r="L160" s="500">
        <f t="shared" si="5"/>
        <v>0</v>
      </c>
    </row>
    <row r="161" spans="1:12" s="86" customFormat="1" ht="12.75">
      <c r="A161" s="145" t="s">
        <v>789</v>
      </c>
      <c r="B161" s="314">
        <v>0</v>
      </c>
      <c r="C161" s="314">
        <v>0</v>
      </c>
      <c r="D161" s="315">
        <v>0</v>
      </c>
      <c r="E161" s="315">
        <v>0</v>
      </c>
      <c r="F161" s="315">
        <v>0</v>
      </c>
      <c r="G161" s="572">
        <v>0</v>
      </c>
      <c r="H161" s="621">
        <v>0</v>
      </c>
      <c r="I161" s="621">
        <v>0</v>
      </c>
      <c r="J161" s="621">
        <v>0</v>
      </c>
      <c r="K161" s="500">
        <f t="shared" si="4"/>
        <v>0</v>
      </c>
      <c r="L161" s="500">
        <f t="shared" si="5"/>
        <v>0</v>
      </c>
    </row>
    <row r="162" spans="1:12" s="86" customFormat="1" ht="12.75">
      <c r="A162" s="145" t="s">
        <v>790</v>
      </c>
      <c r="B162" s="314">
        <v>0</v>
      </c>
      <c r="C162" s="314">
        <v>0</v>
      </c>
      <c r="D162" s="315">
        <v>0</v>
      </c>
      <c r="E162" s="315">
        <v>0</v>
      </c>
      <c r="F162" s="315">
        <v>0</v>
      </c>
      <c r="G162" s="572">
        <v>0</v>
      </c>
      <c r="H162" s="621">
        <v>0</v>
      </c>
      <c r="I162" s="621">
        <v>0</v>
      </c>
      <c r="J162" s="621">
        <v>0</v>
      </c>
      <c r="K162" s="500">
        <f t="shared" si="4"/>
        <v>0</v>
      </c>
      <c r="L162" s="500">
        <f t="shared" si="5"/>
        <v>0</v>
      </c>
    </row>
    <row r="163" spans="1:12" s="86" customFormat="1" ht="12.75">
      <c r="A163" s="145" t="s">
        <v>791</v>
      </c>
      <c r="B163" s="314">
        <v>0</v>
      </c>
      <c r="C163" s="314">
        <v>0</v>
      </c>
      <c r="D163" s="315">
        <v>0</v>
      </c>
      <c r="E163" s="315">
        <v>0</v>
      </c>
      <c r="F163" s="315">
        <v>0</v>
      </c>
      <c r="G163" s="572">
        <v>0</v>
      </c>
      <c r="H163" s="621">
        <v>0</v>
      </c>
      <c r="I163" s="621">
        <v>0</v>
      </c>
      <c r="J163" s="621">
        <v>0</v>
      </c>
      <c r="K163" s="500">
        <f t="shared" si="4"/>
        <v>0</v>
      </c>
      <c r="L163" s="500">
        <f t="shared" si="5"/>
        <v>0</v>
      </c>
    </row>
    <row r="164" spans="1:12" s="86" customFormat="1" ht="12.75">
      <c r="A164" s="145" t="s">
        <v>792</v>
      </c>
      <c r="B164" s="314">
        <v>0</v>
      </c>
      <c r="C164" s="314">
        <v>0</v>
      </c>
      <c r="D164" s="315">
        <v>0</v>
      </c>
      <c r="E164" s="315">
        <v>0</v>
      </c>
      <c r="F164" s="315">
        <v>0</v>
      </c>
      <c r="G164" s="572">
        <v>0</v>
      </c>
      <c r="H164" s="621">
        <v>0</v>
      </c>
      <c r="I164" s="621">
        <v>0</v>
      </c>
      <c r="J164" s="621">
        <v>0</v>
      </c>
      <c r="K164" s="500">
        <f t="shared" si="4"/>
        <v>0</v>
      </c>
      <c r="L164" s="500">
        <f t="shared" si="5"/>
        <v>0</v>
      </c>
    </row>
    <row r="165" spans="1:12" s="86" customFormat="1" ht="12.75">
      <c r="A165" s="145" t="s">
        <v>793</v>
      </c>
      <c r="B165" s="314">
        <v>0</v>
      </c>
      <c r="C165" s="314">
        <v>0</v>
      </c>
      <c r="D165" s="315">
        <v>0</v>
      </c>
      <c r="E165" s="315">
        <v>0</v>
      </c>
      <c r="F165" s="315">
        <v>0</v>
      </c>
      <c r="G165" s="572">
        <v>0</v>
      </c>
      <c r="H165" s="621">
        <v>0</v>
      </c>
      <c r="I165" s="621">
        <v>0</v>
      </c>
      <c r="J165" s="621">
        <v>0</v>
      </c>
      <c r="K165" s="500">
        <f t="shared" si="4"/>
        <v>0</v>
      </c>
      <c r="L165" s="500">
        <f t="shared" si="5"/>
        <v>0</v>
      </c>
    </row>
    <row r="166" spans="1:12" s="86" customFormat="1" ht="12.75">
      <c r="A166" s="145" t="s">
        <v>794</v>
      </c>
      <c r="B166" s="314">
        <v>0</v>
      </c>
      <c r="C166" s="314">
        <v>0</v>
      </c>
      <c r="D166" s="315">
        <v>0</v>
      </c>
      <c r="E166" s="315">
        <v>0</v>
      </c>
      <c r="F166" s="315">
        <v>0</v>
      </c>
      <c r="G166" s="572">
        <v>0</v>
      </c>
      <c r="H166" s="621">
        <v>0</v>
      </c>
      <c r="I166" s="621">
        <v>0</v>
      </c>
      <c r="J166" s="621">
        <v>0</v>
      </c>
      <c r="K166" s="500">
        <f t="shared" si="4"/>
        <v>0</v>
      </c>
      <c r="L166" s="500">
        <f t="shared" si="5"/>
        <v>0</v>
      </c>
    </row>
    <row r="167" spans="1:12" s="86" customFormat="1" ht="12.75">
      <c r="A167" s="145" t="s">
        <v>795</v>
      </c>
      <c r="B167" s="314">
        <v>0</v>
      </c>
      <c r="C167" s="314">
        <v>0</v>
      </c>
      <c r="D167" s="315">
        <v>0</v>
      </c>
      <c r="E167" s="315">
        <v>0</v>
      </c>
      <c r="F167" s="315">
        <v>0</v>
      </c>
      <c r="G167" s="572">
        <v>0</v>
      </c>
      <c r="H167" s="621">
        <v>0</v>
      </c>
      <c r="I167" s="621">
        <v>0</v>
      </c>
      <c r="J167" s="621">
        <v>0</v>
      </c>
      <c r="K167" s="500">
        <f t="shared" si="4"/>
        <v>0</v>
      </c>
      <c r="L167" s="500">
        <f t="shared" si="5"/>
        <v>0</v>
      </c>
    </row>
    <row r="168" spans="1:12" s="86" customFormat="1" ht="12.75">
      <c r="A168" s="145" t="s">
        <v>796</v>
      </c>
      <c r="B168" s="314">
        <v>0</v>
      </c>
      <c r="C168" s="314">
        <v>0</v>
      </c>
      <c r="D168" s="315">
        <v>0</v>
      </c>
      <c r="E168" s="315">
        <v>0</v>
      </c>
      <c r="F168" s="315">
        <v>0</v>
      </c>
      <c r="G168" s="572">
        <v>0</v>
      </c>
      <c r="H168" s="621">
        <v>0</v>
      </c>
      <c r="I168" s="621">
        <v>0</v>
      </c>
      <c r="J168" s="621">
        <v>0</v>
      </c>
      <c r="K168" s="500">
        <f t="shared" si="4"/>
        <v>0</v>
      </c>
      <c r="L168" s="500">
        <f t="shared" si="5"/>
        <v>0</v>
      </c>
    </row>
    <row r="169" spans="1:12" s="86" customFormat="1" ht="12.75">
      <c r="A169" s="145" t="s">
        <v>797</v>
      </c>
      <c r="B169" s="314">
        <v>0</v>
      </c>
      <c r="C169" s="314">
        <v>0</v>
      </c>
      <c r="D169" s="315">
        <v>0</v>
      </c>
      <c r="E169" s="315">
        <v>0</v>
      </c>
      <c r="F169" s="315">
        <v>0</v>
      </c>
      <c r="G169" s="572">
        <v>0</v>
      </c>
      <c r="H169" s="621">
        <v>0</v>
      </c>
      <c r="I169" s="621">
        <v>0</v>
      </c>
      <c r="J169" s="621">
        <v>0</v>
      </c>
      <c r="K169" s="500">
        <f t="shared" si="4"/>
        <v>0</v>
      </c>
      <c r="L169" s="500">
        <f t="shared" si="5"/>
        <v>0</v>
      </c>
    </row>
    <row r="170" spans="1:12" s="86" customFormat="1" ht="12.75">
      <c r="A170" s="145" t="s">
        <v>798</v>
      </c>
      <c r="B170" s="314">
        <v>0</v>
      </c>
      <c r="C170" s="314">
        <v>0</v>
      </c>
      <c r="D170" s="315">
        <v>0</v>
      </c>
      <c r="E170" s="315">
        <v>0</v>
      </c>
      <c r="F170" s="315">
        <v>0</v>
      </c>
      <c r="G170" s="572">
        <v>0</v>
      </c>
      <c r="H170" s="621">
        <v>0</v>
      </c>
      <c r="I170" s="621">
        <v>0</v>
      </c>
      <c r="J170" s="621">
        <v>0</v>
      </c>
      <c r="K170" s="500">
        <f t="shared" si="4"/>
        <v>0</v>
      </c>
      <c r="L170" s="500">
        <f t="shared" si="5"/>
        <v>0</v>
      </c>
    </row>
    <row r="171" spans="1:12" s="86" customFormat="1" ht="12.75">
      <c r="A171" s="145" t="s">
        <v>799</v>
      </c>
      <c r="B171" s="314">
        <v>0</v>
      </c>
      <c r="C171" s="314">
        <v>0</v>
      </c>
      <c r="D171" s="315">
        <v>0</v>
      </c>
      <c r="E171" s="315">
        <v>0</v>
      </c>
      <c r="F171" s="315">
        <v>0</v>
      </c>
      <c r="G171" s="572">
        <v>0</v>
      </c>
      <c r="H171" s="621">
        <v>0</v>
      </c>
      <c r="I171" s="621">
        <v>283</v>
      </c>
      <c r="J171" s="621">
        <v>0</v>
      </c>
      <c r="K171" s="500">
        <f t="shared" si="4"/>
        <v>6.3497049518723781E-3</v>
      </c>
      <c r="L171" s="500">
        <f t="shared" si="5"/>
        <v>0</v>
      </c>
    </row>
    <row r="172" spans="1:12" s="86" customFormat="1" ht="12.75">
      <c r="A172" s="147" t="s">
        <v>800</v>
      </c>
      <c r="B172" s="316">
        <v>0</v>
      </c>
      <c r="C172" s="316">
        <v>0</v>
      </c>
      <c r="D172" s="317">
        <v>0</v>
      </c>
      <c r="E172" s="317">
        <v>0</v>
      </c>
      <c r="F172" s="317">
        <v>0</v>
      </c>
      <c r="G172" s="573">
        <v>0</v>
      </c>
      <c r="H172" s="622">
        <v>0</v>
      </c>
      <c r="I172" s="622">
        <v>283</v>
      </c>
      <c r="J172" s="622">
        <v>0</v>
      </c>
      <c r="K172" s="500">
        <f t="shared" ref="K172:K206" si="6">+I172/$I$206</f>
        <v>6.3497049518723781E-3</v>
      </c>
      <c r="L172" s="500">
        <f t="shared" ref="L172:L206" si="7">+J172/$J$206</f>
        <v>0</v>
      </c>
    </row>
    <row r="173" spans="1:12" s="86" customFormat="1" ht="12.75">
      <c r="A173" s="147" t="s">
        <v>208</v>
      </c>
      <c r="B173" s="316">
        <v>0</v>
      </c>
      <c r="C173" s="316">
        <v>0</v>
      </c>
      <c r="D173" s="317">
        <v>0</v>
      </c>
      <c r="E173" s="317">
        <v>0</v>
      </c>
      <c r="F173" s="317">
        <v>0</v>
      </c>
      <c r="G173" s="573">
        <v>0</v>
      </c>
      <c r="H173" s="622">
        <v>1276.5730000000001</v>
      </c>
      <c r="I173" s="622">
        <v>0</v>
      </c>
      <c r="J173" s="622">
        <v>0</v>
      </c>
      <c r="K173" s="500">
        <f t="shared" si="6"/>
        <v>0</v>
      </c>
      <c r="L173" s="500">
        <f t="shared" si="7"/>
        <v>0</v>
      </c>
    </row>
    <row r="174" spans="1:12" s="86" customFormat="1" ht="12.75">
      <c r="A174" s="147" t="s">
        <v>801</v>
      </c>
      <c r="B174" s="316">
        <v>0</v>
      </c>
      <c r="C174" s="316">
        <v>0</v>
      </c>
      <c r="D174" s="317">
        <v>0</v>
      </c>
      <c r="E174" s="317">
        <v>0</v>
      </c>
      <c r="F174" s="317">
        <v>0</v>
      </c>
      <c r="G174" s="573">
        <v>0</v>
      </c>
      <c r="H174" s="622">
        <v>0</v>
      </c>
      <c r="I174" s="622">
        <v>0</v>
      </c>
      <c r="J174" s="622">
        <v>0</v>
      </c>
      <c r="K174" s="500">
        <f t="shared" si="6"/>
        <v>0</v>
      </c>
      <c r="L174" s="500">
        <f t="shared" si="7"/>
        <v>0</v>
      </c>
    </row>
    <row r="175" spans="1:12" s="86" customFormat="1" ht="12.75">
      <c r="A175" s="145" t="s">
        <v>802</v>
      </c>
      <c r="B175" s="314">
        <v>0</v>
      </c>
      <c r="C175" s="314">
        <v>0</v>
      </c>
      <c r="D175" s="315">
        <v>0</v>
      </c>
      <c r="E175" s="315">
        <v>0</v>
      </c>
      <c r="F175" s="315">
        <v>0</v>
      </c>
      <c r="G175" s="572">
        <v>0</v>
      </c>
      <c r="H175" s="621">
        <v>0</v>
      </c>
      <c r="I175" s="621">
        <v>0</v>
      </c>
      <c r="J175" s="621">
        <v>0</v>
      </c>
      <c r="K175" s="500">
        <f t="shared" si="6"/>
        <v>0</v>
      </c>
      <c r="L175" s="500">
        <f t="shared" si="7"/>
        <v>0</v>
      </c>
    </row>
    <row r="176" spans="1:12" s="86" customFormat="1" ht="12.75">
      <c r="A176" s="145" t="s">
        <v>803</v>
      </c>
      <c r="B176" s="314">
        <v>0</v>
      </c>
      <c r="C176" s="314">
        <v>0</v>
      </c>
      <c r="D176" s="315">
        <v>0</v>
      </c>
      <c r="E176" s="315">
        <v>0</v>
      </c>
      <c r="F176" s="315">
        <v>0</v>
      </c>
      <c r="G176" s="572">
        <v>0</v>
      </c>
      <c r="H176" s="621">
        <v>0</v>
      </c>
      <c r="I176" s="621">
        <v>0</v>
      </c>
      <c r="J176" s="621">
        <v>0</v>
      </c>
      <c r="K176" s="500">
        <f t="shared" si="6"/>
        <v>0</v>
      </c>
      <c r="L176" s="500">
        <f t="shared" si="7"/>
        <v>0</v>
      </c>
    </row>
    <row r="177" spans="1:12" s="86" customFormat="1" ht="12.75">
      <c r="A177" s="145" t="s">
        <v>804</v>
      </c>
      <c r="B177" s="314">
        <v>0</v>
      </c>
      <c r="C177" s="314">
        <v>0</v>
      </c>
      <c r="D177" s="315">
        <v>0</v>
      </c>
      <c r="E177" s="315">
        <v>0</v>
      </c>
      <c r="F177" s="315">
        <v>0</v>
      </c>
      <c r="G177" s="572">
        <v>0</v>
      </c>
      <c r="H177" s="621">
        <v>0</v>
      </c>
      <c r="I177" s="621">
        <v>0</v>
      </c>
      <c r="J177" s="621">
        <v>0</v>
      </c>
      <c r="K177" s="500">
        <f t="shared" si="6"/>
        <v>0</v>
      </c>
      <c r="L177" s="500">
        <f t="shared" si="7"/>
        <v>0</v>
      </c>
    </row>
    <row r="178" spans="1:12" s="86" customFormat="1" ht="12.75">
      <c r="A178" s="145" t="s">
        <v>780</v>
      </c>
      <c r="B178" s="314">
        <v>0</v>
      </c>
      <c r="C178" s="314">
        <v>0</v>
      </c>
      <c r="D178" s="315">
        <v>0</v>
      </c>
      <c r="E178" s="315">
        <v>0</v>
      </c>
      <c r="F178" s="315">
        <v>0</v>
      </c>
      <c r="G178" s="572">
        <v>0</v>
      </c>
      <c r="H178" s="621">
        <v>0</v>
      </c>
      <c r="I178" s="621">
        <v>0</v>
      </c>
      <c r="J178" s="621">
        <v>0</v>
      </c>
      <c r="K178" s="500">
        <f t="shared" si="6"/>
        <v>0</v>
      </c>
      <c r="L178" s="500">
        <f t="shared" si="7"/>
        <v>0</v>
      </c>
    </row>
    <row r="179" spans="1:12" s="86" customFormat="1" ht="12.75">
      <c r="A179" s="145" t="s">
        <v>805</v>
      </c>
      <c r="B179" s="314">
        <v>0</v>
      </c>
      <c r="C179" s="314">
        <v>0</v>
      </c>
      <c r="D179" s="315">
        <v>0</v>
      </c>
      <c r="E179" s="315">
        <v>0</v>
      </c>
      <c r="F179" s="315">
        <v>0</v>
      </c>
      <c r="G179" s="572">
        <v>0</v>
      </c>
      <c r="H179" s="621">
        <v>0</v>
      </c>
      <c r="I179" s="621">
        <v>0</v>
      </c>
      <c r="J179" s="621">
        <v>0</v>
      </c>
      <c r="K179" s="500">
        <f t="shared" si="6"/>
        <v>0</v>
      </c>
      <c r="L179" s="500">
        <f t="shared" si="7"/>
        <v>0</v>
      </c>
    </row>
    <row r="180" spans="1:12" s="86" customFormat="1" ht="12.75">
      <c r="A180" s="145" t="s">
        <v>806</v>
      </c>
      <c r="B180" s="314">
        <v>0</v>
      </c>
      <c r="C180" s="314">
        <v>0</v>
      </c>
      <c r="D180" s="315">
        <v>0</v>
      </c>
      <c r="E180" s="315">
        <v>0</v>
      </c>
      <c r="F180" s="315">
        <v>0</v>
      </c>
      <c r="G180" s="572">
        <v>0</v>
      </c>
      <c r="H180" s="621">
        <v>0</v>
      </c>
      <c r="I180" s="621">
        <v>0</v>
      </c>
      <c r="J180" s="621">
        <v>0</v>
      </c>
      <c r="K180" s="500">
        <f t="shared" si="6"/>
        <v>0</v>
      </c>
      <c r="L180" s="500">
        <f t="shared" si="7"/>
        <v>0</v>
      </c>
    </row>
    <row r="181" spans="1:12" s="86" customFormat="1" ht="12.75">
      <c r="A181" s="145" t="s">
        <v>807</v>
      </c>
      <c r="B181" s="314">
        <v>0</v>
      </c>
      <c r="C181" s="314">
        <v>0</v>
      </c>
      <c r="D181" s="315">
        <v>0</v>
      </c>
      <c r="E181" s="315">
        <v>0</v>
      </c>
      <c r="F181" s="315">
        <v>0</v>
      </c>
      <c r="G181" s="572">
        <v>0</v>
      </c>
      <c r="H181" s="621">
        <v>0</v>
      </c>
      <c r="I181" s="621">
        <v>0</v>
      </c>
      <c r="J181" s="621">
        <v>0</v>
      </c>
      <c r="K181" s="500">
        <f t="shared" si="6"/>
        <v>0</v>
      </c>
      <c r="L181" s="500">
        <f t="shared" si="7"/>
        <v>0</v>
      </c>
    </row>
    <row r="182" spans="1:12" s="86" customFormat="1" ht="12.75">
      <c r="A182" s="145" t="s">
        <v>808</v>
      </c>
      <c r="B182" s="314">
        <v>0</v>
      </c>
      <c r="C182" s="314">
        <v>0</v>
      </c>
      <c r="D182" s="315">
        <v>0</v>
      </c>
      <c r="E182" s="315">
        <v>0</v>
      </c>
      <c r="F182" s="315">
        <v>0</v>
      </c>
      <c r="G182" s="572">
        <v>0</v>
      </c>
      <c r="H182" s="621">
        <v>0</v>
      </c>
      <c r="I182" s="621">
        <v>0</v>
      </c>
      <c r="J182" s="621">
        <v>0</v>
      </c>
      <c r="K182" s="500">
        <f t="shared" si="6"/>
        <v>0</v>
      </c>
      <c r="L182" s="500">
        <f t="shared" si="7"/>
        <v>0</v>
      </c>
    </row>
    <row r="183" spans="1:12" s="86" customFormat="1" ht="12.75">
      <c r="A183" s="147" t="s">
        <v>809</v>
      </c>
      <c r="B183" s="314">
        <v>0</v>
      </c>
      <c r="C183" s="314">
        <v>0</v>
      </c>
      <c r="D183" s="315">
        <v>0</v>
      </c>
      <c r="E183" s="315">
        <v>0</v>
      </c>
      <c r="F183" s="315">
        <v>0</v>
      </c>
      <c r="G183" s="572">
        <v>0</v>
      </c>
      <c r="H183" s="621">
        <v>0</v>
      </c>
      <c r="I183" s="622">
        <v>0</v>
      </c>
      <c r="J183" s="622">
        <v>0</v>
      </c>
      <c r="K183" s="500">
        <f t="shared" si="6"/>
        <v>0</v>
      </c>
      <c r="L183" s="500">
        <f t="shared" si="7"/>
        <v>0</v>
      </c>
    </row>
    <row r="184" spans="1:12" s="86" customFormat="1" ht="12.75">
      <c r="A184" s="145" t="s">
        <v>810</v>
      </c>
      <c r="B184" s="314">
        <v>0</v>
      </c>
      <c r="C184" s="314">
        <v>0</v>
      </c>
      <c r="D184" s="315">
        <v>0</v>
      </c>
      <c r="E184" s="315">
        <v>0</v>
      </c>
      <c r="F184" s="315">
        <v>0</v>
      </c>
      <c r="G184" s="572">
        <v>0</v>
      </c>
      <c r="H184" s="621">
        <v>0</v>
      </c>
      <c r="I184" s="621">
        <v>0</v>
      </c>
      <c r="J184" s="621">
        <v>0</v>
      </c>
      <c r="K184" s="500">
        <f t="shared" si="6"/>
        <v>0</v>
      </c>
      <c r="L184" s="500">
        <f t="shared" si="7"/>
        <v>0</v>
      </c>
    </row>
    <row r="185" spans="1:12" s="86" customFormat="1" ht="12.75">
      <c r="A185" s="145" t="s">
        <v>811</v>
      </c>
      <c r="B185" s="314">
        <v>0</v>
      </c>
      <c r="C185" s="314">
        <v>0</v>
      </c>
      <c r="D185" s="315">
        <v>0</v>
      </c>
      <c r="E185" s="315">
        <v>0</v>
      </c>
      <c r="F185" s="315">
        <v>0</v>
      </c>
      <c r="G185" s="572">
        <v>0</v>
      </c>
      <c r="H185" s="621">
        <v>0</v>
      </c>
      <c r="I185" s="621">
        <v>0</v>
      </c>
      <c r="J185" s="621">
        <v>0</v>
      </c>
      <c r="K185" s="500">
        <f t="shared" si="6"/>
        <v>0</v>
      </c>
      <c r="L185" s="500">
        <f t="shared" si="7"/>
        <v>0</v>
      </c>
    </row>
    <row r="186" spans="1:12" s="86" customFormat="1" ht="12.75">
      <c r="A186" s="145" t="s">
        <v>812</v>
      </c>
      <c r="B186" s="314">
        <v>0</v>
      </c>
      <c r="C186" s="314">
        <v>0</v>
      </c>
      <c r="D186" s="315">
        <v>0</v>
      </c>
      <c r="E186" s="315">
        <v>0</v>
      </c>
      <c r="F186" s="315">
        <v>0</v>
      </c>
      <c r="G186" s="572">
        <v>0</v>
      </c>
      <c r="H186" s="621">
        <v>0</v>
      </c>
      <c r="I186" s="621">
        <v>0</v>
      </c>
      <c r="J186" s="621">
        <v>0</v>
      </c>
      <c r="K186" s="500">
        <f t="shared" si="6"/>
        <v>0</v>
      </c>
      <c r="L186" s="500">
        <f t="shared" si="7"/>
        <v>0</v>
      </c>
    </row>
    <row r="187" spans="1:12" s="86" customFormat="1" ht="12.75">
      <c r="A187" s="145" t="s">
        <v>813</v>
      </c>
      <c r="B187" s="314">
        <v>0</v>
      </c>
      <c r="C187" s="314">
        <v>0</v>
      </c>
      <c r="D187" s="315">
        <v>0</v>
      </c>
      <c r="E187" s="315">
        <v>0</v>
      </c>
      <c r="F187" s="315">
        <v>0</v>
      </c>
      <c r="G187" s="572">
        <v>0</v>
      </c>
      <c r="H187" s="621">
        <v>0</v>
      </c>
      <c r="I187" s="621">
        <v>0</v>
      </c>
      <c r="J187" s="621">
        <v>0</v>
      </c>
      <c r="K187" s="500">
        <f t="shared" si="6"/>
        <v>0</v>
      </c>
      <c r="L187" s="500">
        <f t="shared" si="7"/>
        <v>0</v>
      </c>
    </row>
    <row r="188" spans="1:12" s="86" customFormat="1" ht="12.75">
      <c r="A188" s="145" t="s">
        <v>814</v>
      </c>
      <c r="B188" s="314">
        <v>0</v>
      </c>
      <c r="C188" s="314">
        <v>0</v>
      </c>
      <c r="D188" s="315">
        <v>0</v>
      </c>
      <c r="E188" s="315">
        <v>0</v>
      </c>
      <c r="F188" s="315">
        <v>0</v>
      </c>
      <c r="G188" s="572">
        <v>0</v>
      </c>
      <c r="H188" s="621">
        <v>0</v>
      </c>
      <c r="I188" s="621">
        <v>0</v>
      </c>
      <c r="J188" s="621">
        <v>0</v>
      </c>
      <c r="K188" s="500">
        <f t="shared" si="6"/>
        <v>0</v>
      </c>
      <c r="L188" s="500">
        <f t="shared" si="7"/>
        <v>0</v>
      </c>
    </row>
    <row r="189" spans="1:12" s="86" customFormat="1" ht="12.75">
      <c r="A189" s="147" t="s">
        <v>815</v>
      </c>
      <c r="B189" s="316">
        <v>0</v>
      </c>
      <c r="C189" s="316">
        <v>0</v>
      </c>
      <c r="D189" s="317">
        <v>0</v>
      </c>
      <c r="E189" s="317">
        <v>0</v>
      </c>
      <c r="F189" s="317">
        <v>0</v>
      </c>
      <c r="G189" s="573">
        <v>0</v>
      </c>
      <c r="H189" s="622">
        <v>0</v>
      </c>
      <c r="I189" s="622">
        <v>0</v>
      </c>
      <c r="J189" s="622">
        <v>0</v>
      </c>
      <c r="K189" s="500">
        <f t="shared" si="6"/>
        <v>0</v>
      </c>
      <c r="L189" s="500">
        <f t="shared" si="7"/>
        <v>0</v>
      </c>
    </row>
    <row r="190" spans="1:12" s="86" customFormat="1" ht="12.75">
      <c r="A190" s="145" t="s">
        <v>816</v>
      </c>
      <c r="B190" s="314">
        <v>0</v>
      </c>
      <c r="C190" s="314">
        <v>0</v>
      </c>
      <c r="D190" s="315">
        <v>0</v>
      </c>
      <c r="E190" s="315">
        <v>0</v>
      </c>
      <c r="F190" s="315">
        <v>0</v>
      </c>
      <c r="G190" s="572">
        <v>0</v>
      </c>
      <c r="H190" s="621">
        <v>0</v>
      </c>
      <c r="I190" s="621">
        <v>0</v>
      </c>
      <c r="J190" s="621">
        <v>0</v>
      </c>
      <c r="K190" s="500">
        <f t="shared" si="6"/>
        <v>0</v>
      </c>
      <c r="L190" s="500">
        <f t="shared" si="7"/>
        <v>0</v>
      </c>
    </row>
    <row r="191" spans="1:12" s="86" customFormat="1" ht="12.75">
      <c r="A191" s="145" t="s">
        <v>817</v>
      </c>
      <c r="B191" s="314">
        <v>0</v>
      </c>
      <c r="C191" s="314">
        <v>0</v>
      </c>
      <c r="D191" s="315">
        <v>0</v>
      </c>
      <c r="E191" s="315">
        <v>0</v>
      </c>
      <c r="F191" s="315">
        <v>0</v>
      </c>
      <c r="G191" s="572">
        <v>0</v>
      </c>
      <c r="H191" s="621">
        <v>0</v>
      </c>
      <c r="I191" s="621">
        <v>0</v>
      </c>
      <c r="J191" s="621">
        <v>0</v>
      </c>
      <c r="K191" s="500">
        <f t="shared" si="6"/>
        <v>0</v>
      </c>
      <c r="L191" s="500">
        <f t="shared" si="7"/>
        <v>0</v>
      </c>
    </row>
    <row r="192" spans="1:12" s="86" customFormat="1" ht="12.75">
      <c r="A192" s="145" t="s">
        <v>818</v>
      </c>
      <c r="B192" s="314">
        <v>0</v>
      </c>
      <c r="C192" s="314">
        <v>0</v>
      </c>
      <c r="D192" s="315">
        <v>0</v>
      </c>
      <c r="E192" s="315">
        <v>0</v>
      </c>
      <c r="F192" s="315">
        <v>0</v>
      </c>
      <c r="G192" s="572">
        <v>0</v>
      </c>
      <c r="H192" s="621">
        <v>0</v>
      </c>
      <c r="I192" s="621">
        <v>0</v>
      </c>
      <c r="J192" s="621">
        <v>0</v>
      </c>
      <c r="K192" s="500">
        <f t="shared" si="6"/>
        <v>0</v>
      </c>
      <c r="L192" s="500">
        <f t="shared" si="7"/>
        <v>0</v>
      </c>
    </row>
    <row r="193" spans="1:12" s="86" customFormat="1" ht="12.75">
      <c r="A193" s="145" t="s">
        <v>819</v>
      </c>
      <c r="B193" s="314">
        <v>0</v>
      </c>
      <c r="C193" s="314">
        <v>0</v>
      </c>
      <c r="D193" s="315">
        <v>0</v>
      </c>
      <c r="E193" s="315">
        <v>0</v>
      </c>
      <c r="F193" s="315">
        <v>0</v>
      </c>
      <c r="G193" s="572">
        <v>0</v>
      </c>
      <c r="H193" s="621">
        <v>0</v>
      </c>
      <c r="I193" s="621">
        <v>0</v>
      </c>
      <c r="J193" s="621">
        <v>0</v>
      </c>
      <c r="K193" s="500">
        <f t="shared" si="6"/>
        <v>0</v>
      </c>
      <c r="L193" s="500">
        <f t="shared" si="7"/>
        <v>0</v>
      </c>
    </row>
    <row r="194" spans="1:12" s="86" customFormat="1" ht="12.75">
      <c r="A194" s="145" t="s">
        <v>820</v>
      </c>
      <c r="B194" s="314">
        <v>0</v>
      </c>
      <c r="C194" s="314">
        <v>0</v>
      </c>
      <c r="D194" s="315">
        <v>0</v>
      </c>
      <c r="E194" s="315">
        <v>0</v>
      </c>
      <c r="F194" s="315">
        <v>0</v>
      </c>
      <c r="G194" s="572">
        <v>0</v>
      </c>
      <c r="H194" s="621">
        <v>0</v>
      </c>
      <c r="I194" s="621">
        <v>0</v>
      </c>
      <c r="J194" s="621">
        <v>0</v>
      </c>
      <c r="K194" s="500">
        <f t="shared" si="6"/>
        <v>0</v>
      </c>
      <c r="L194" s="500">
        <f t="shared" si="7"/>
        <v>0</v>
      </c>
    </row>
    <row r="195" spans="1:12" s="86" customFormat="1" ht="12.75">
      <c r="A195" s="145" t="s">
        <v>782</v>
      </c>
      <c r="B195" s="314">
        <v>0</v>
      </c>
      <c r="C195" s="314">
        <v>0</v>
      </c>
      <c r="D195" s="315">
        <v>0</v>
      </c>
      <c r="E195" s="315">
        <v>0</v>
      </c>
      <c r="F195" s="315">
        <v>0</v>
      </c>
      <c r="G195" s="572">
        <v>0</v>
      </c>
      <c r="H195" s="621">
        <v>0</v>
      </c>
      <c r="I195" s="621">
        <v>0</v>
      </c>
      <c r="J195" s="621">
        <v>0</v>
      </c>
      <c r="K195" s="500">
        <f t="shared" si="6"/>
        <v>0</v>
      </c>
      <c r="L195" s="500">
        <f t="shared" si="7"/>
        <v>0</v>
      </c>
    </row>
    <row r="196" spans="1:12" s="86" customFormat="1" ht="12.75">
      <c r="A196" s="145" t="s">
        <v>821</v>
      </c>
      <c r="B196" s="314">
        <v>0</v>
      </c>
      <c r="C196" s="314">
        <v>0</v>
      </c>
      <c r="D196" s="315">
        <v>0</v>
      </c>
      <c r="E196" s="315">
        <v>0</v>
      </c>
      <c r="F196" s="315">
        <v>0</v>
      </c>
      <c r="G196" s="572">
        <v>0</v>
      </c>
      <c r="H196" s="621">
        <v>0</v>
      </c>
      <c r="I196" s="621">
        <v>0</v>
      </c>
      <c r="J196" s="621">
        <v>0</v>
      </c>
      <c r="K196" s="500">
        <f t="shared" si="6"/>
        <v>0</v>
      </c>
      <c r="L196" s="500">
        <f t="shared" si="7"/>
        <v>0</v>
      </c>
    </row>
    <row r="197" spans="1:12" s="86" customFormat="1" ht="12.75">
      <c r="A197" s="145" t="s">
        <v>822</v>
      </c>
      <c r="B197" s="314">
        <v>0</v>
      </c>
      <c r="C197" s="314">
        <v>0</v>
      </c>
      <c r="D197" s="315">
        <v>0</v>
      </c>
      <c r="E197" s="315">
        <v>0</v>
      </c>
      <c r="F197" s="315">
        <v>0</v>
      </c>
      <c r="G197" s="572">
        <v>0</v>
      </c>
      <c r="H197" s="621">
        <v>0</v>
      </c>
      <c r="I197" s="621">
        <v>0</v>
      </c>
      <c r="J197" s="621">
        <v>0</v>
      </c>
      <c r="K197" s="500">
        <f t="shared" si="6"/>
        <v>0</v>
      </c>
      <c r="L197" s="500">
        <f t="shared" si="7"/>
        <v>0</v>
      </c>
    </row>
    <row r="198" spans="1:12" s="86" customFormat="1" ht="12.75">
      <c r="A198" s="147" t="s">
        <v>823</v>
      </c>
      <c r="B198" s="316">
        <v>0</v>
      </c>
      <c r="C198" s="316">
        <v>0</v>
      </c>
      <c r="D198" s="317">
        <v>0</v>
      </c>
      <c r="E198" s="317">
        <v>0</v>
      </c>
      <c r="F198" s="317">
        <v>0</v>
      </c>
      <c r="G198" s="573">
        <v>0</v>
      </c>
      <c r="H198" s="622">
        <v>0</v>
      </c>
      <c r="I198" s="622">
        <v>0</v>
      </c>
      <c r="J198" s="622">
        <v>0</v>
      </c>
      <c r="K198" s="500">
        <f t="shared" si="6"/>
        <v>0</v>
      </c>
      <c r="L198" s="500">
        <f t="shared" si="7"/>
        <v>0</v>
      </c>
    </row>
    <row r="199" spans="1:12" s="86" customFormat="1" ht="12.75">
      <c r="A199" s="145" t="s">
        <v>824</v>
      </c>
      <c r="B199" s="314">
        <v>0</v>
      </c>
      <c r="C199" s="314">
        <v>0</v>
      </c>
      <c r="D199" s="315">
        <v>0</v>
      </c>
      <c r="E199" s="315">
        <v>0</v>
      </c>
      <c r="F199" s="315">
        <v>0</v>
      </c>
      <c r="G199" s="572">
        <v>0</v>
      </c>
      <c r="H199" s="621">
        <v>0</v>
      </c>
      <c r="I199" s="621">
        <v>0</v>
      </c>
      <c r="J199" s="621">
        <v>0</v>
      </c>
      <c r="K199" s="500">
        <f t="shared" si="6"/>
        <v>0</v>
      </c>
      <c r="L199" s="500">
        <f t="shared" si="7"/>
        <v>0</v>
      </c>
    </row>
    <row r="200" spans="1:12" s="86" customFormat="1" ht="12.75">
      <c r="A200" s="145" t="s">
        <v>825</v>
      </c>
      <c r="B200" s="314">
        <v>0</v>
      </c>
      <c r="C200" s="314">
        <v>0</v>
      </c>
      <c r="D200" s="315">
        <v>0</v>
      </c>
      <c r="E200" s="315">
        <v>0</v>
      </c>
      <c r="F200" s="315">
        <v>0</v>
      </c>
      <c r="G200" s="572">
        <v>0</v>
      </c>
      <c r="H200" s="621">
        <v>0</v>
      </c>
      <c r="I200" s="621">
        <v>0</v>
      </c>
      <c r="J200" s="621">
        <v>0</v>
      </c>
      <c r="K200" s="500">
        <f t="shared" si="6"/>
        <v>0</v>
      </c>
      <c r="L200" s="500">
        <f t="shared" si="7"/>
        <v>0</v>
      </c>
    </row>
    <row r="201" spans="1:12" s="86" customFormat="1" ht="12.75">
      <c r="A201" s="145" t="s">
        <v>826</v>
      </c>
      <c r="B201" s="314">
        <v>0</v>
      </c>
      <c r="C201" s="314">
        <v>0</v>
      </c>
      <c r="D201" s="315">
        <v>0</v>
      </c>
      <c r="E201" s="315">
        <v>0</v>
      </c>
      <c r="F201" s="315">
        <v>0</v>
      </c>
      <c r="G201" s="572">
        <v>0</v>
      </c>
      <c r="H201" s="621">
        <v>0</v>
      </c>
      <c r="I201" s="621">
        <v>0</v>
      </c>
      <c r="J201" s="621">
        <v>0</v>
      </c>
      <c r="K201" s="500">
        <f t="shared" si="6"/>
        <v>0</v>
      </c>
      <c r="L201" s="500">
        <f t="shared" si="7"/>
        <v>0</v>
      </c>
    </row>
    <row r="202" spans="1:12" s="86" customFormat="1" ht="12.75">
      <c r="A202" s="145" t="s">
        <v>784</v>
      </c>
      <c r="B202" s="314">
        <v>0</v>
      </c>
      <c r="C202" s="314">
        <v>0</v>
      </c>
      <c r="D202" s="315">
        <v>0</v>
      </c>
      <c r="E202" s="315">
        <v>0</v>
      </c>
      <c r="F202" s="315">
        <v>0</v>
      </c>
      <c r="G202" s="572">
        <v>0</v>
      </c>
      <c r="H202" s="621">
        <v>0</v>
      </c>
      <c r="I202" s="621">
        <v>0</v>
      </c>
      <c r="J202" s="621">
        <v>0</v>
      </c>
      <c r="K202" s="500">
        <f t="shared" si="6"/>
        <v>0</v>
      </c>
      <c r="L202" s="500">
        <f t="shared" si="7"/>
        <v>0</v>
      </c>
    </row>
    <row r="203" spans="1:12" s="86" customFormat="1" ht="12.75">
      <c r="A203" s="145" t="s">
        <v>785</v>
      </c>
      <c r="B203" s="314">
        <v>0</v>
      </c>
      <c r="C203" s="314">
        <v>0</v>
      </c>
      <c r="D203" s="315">
        <v>0</v>
      </c>
      <c r="E203" s="315">
        <v>0</v>
      </c>
      <c r="F203" s="315">
        <v>0</v>
      </c>
      <c r="G203" s="572">
        <v>0</v>
      </c>
      <c r="H203" s="621">
        <v>0</v>
      </c>
      <c r="I203" s="621">
        <v>0</v>
      </c>
      <c r="J203" s="621">
        <v>0</v>
      </c>
      <c r="K203" s="500">
        <f t="shared" si="6"/>
        <v>0</v>
      </c>
      <c r="L203" s="500">
        <f t="shared" si="7"/>
        <v>0</v>
      </c>
    </row>
    <row r="204" spans="1:12" s="86" customFormat="1" ht="12.75">
      <c r="A204" s="147" t="s">
        <v>827</v>
      </c>
      <c r="B204" s="316">
        <v>0</v>
      </c>
      <c r="C204" s="316">
        <v>0</v>
      </c>
      <c r="D204" s="317">
        <v>0</v>
      </c>
      <c r="E204" s="317">
        <v>0</v>
      </c>
      <c r="F204" s="317">
        <v>0</v>
      </c>
      <c r="G204" s="573">
        <v>0</v>
      </c>
      <c r="H204" s="622">
        <v>0</v>
      </c>
      <c r="I204" s="622">
        <v>0</v>
      </c>
      <c r="J204" s="622">
        <v>0</v>
      </c>
      <c r="K204" s="500">
        <f t="shared" si="6"/>
        <v>0</v>
      </c>
      <c r="L204" s="500">
        <f t="shared" si="7"/>
        <v>0</v>
      </c>
    </row>
    <row r="205" spans="1:12" s="86" customFormat="1" ht="12.75">
      <c r="A205" s="147" t="s">
        <v>828</v>
      </c>
      <c r="B205" s="316">
        <v>0</v>
      </c>
      <c r="C205" s="316">
        <v>0</v>
      </c>
      <c r="D205" s="317">
        <v>0</v>
      </c>
      <c r="E205" s="317">
        <v>0</v>
      </c>
      <c r="F205" s="317">
        <v>0</v>
      </c>
      <c r="G205" s="573">
        <v>0</v>
      </c>
      <c r="H205" s="622">
        <v>1276.5730000000001</v>
      </c>
      <c r="I205" s="622">
        <v>283</v>
      </c>
      <c r="J205" s="622">
        <v>0</v>
      </c>
      <c r="K205" s="500">
        <f t="shared" si="6"/>
        <v>6.3497049518723781E-3</v>
      </c>
      <c r="L205" s="500">
        <f t="shared" si="7"/>
        <v>0</v>
      </c>
    </row>
    <row r="206" spans="1:12" s="86" customFormat="1" ht="12.75">
      <c r="A206" s="147" t="s">
        <v>63</v>
      </c>
      <c r="B206" s="316">
        <v>14924.645</v>
      </c>
      <c r="C206" s="316">
        <v>17585.662</v>
      </c>
      <c r="D206" s="317">
        <v>21980.03</v>
      </c>
      <c r="E206" s="317">
        <v>21346.821</v>
      </c>
      <c r="F206" s="317">
        <v>36723.341</v>
      </c>
      <c r="G206" s="573">
        <v>36546.247000000003</v>
      </c>
      <c r="H206" s="622">
        <v>25166.022000000001</v>
      </c>
      <c r="I206" s="622">
        <v>44569</v>
      </c>
      <c r="J206" s="622">
        <v>65594.035999999993</v>
      </c>
      <c r="K206" s="500">
        <f t="shared" si="6"/>
        <v>1</v>
      </c>
      <c r="L206" s="500">
        <f t="shared" si="7"/>
        <v>1</v>
      </c>
    </row>
    <row r="207" spans="1:12" s="86" customFormat="1" ht="12.75">
      <c r="A207" s="145" t="s">
        <v>829</v>
      </c>
      <c r="B207" s="314">
        <v>0</v>
      </c>
      <c r="C207" s="314">
        <v>0</v>
      </c>
      <c r="D207" s="315">
        <v>0</v>
      </c>
      <c r="E207" s="315">
        <v>0</v>
      </c>
      <c r="F207" s="315">
        <v>0</v>
      </c>
      <c r="G207" s="572">
        <v>0</v>
      </c>
      <c r="H207" s="621">
        <v>0</v>
      </c>
      <c r="I207" s="621">
        <v>0</v>
      </c>
      <c r="J207" s="621">
        <v>0</v>
      </c>
    </row>
    <row r="208" spans="1:12" s="86" customFormat="1" ht="12.75">
      <c r="A208" s="145" t="s">
        <v>830</v>
      </c>
      <c r="B208" s="314">
        <v>7699.7690000000002</v>
      </c>
      <c r="C208" s="314">
        <v>7699.7690000000002</v>
      </c>
      <c r="D208" s="315">
        <v>7699.7690000000002</v>
      </c>
      <c r="E208" s="315">
        <v>7699.7690000000002</v>
      </c>
      <c r="F208" s="315">
        <v>7699.7690000000002</v>
      </c>
      <c r="G208" s="572">
        <v>7699.7690000000002</v>
      </c>
      <c r="H208" s="621">
        <v>7699.7690000000002</v>
      </c>
      <c r="I208" s="621">
        <v>7700</v>
      </c>
      <c r="J208" s="621">
        <v>7699.7690000000002</v>
      </c>
    </row>
    <row r="209" spans="1:10" s="86" customFormat="1" ht="12.75">
      <c r="A209" s="145" t="s">
        <v>831</v>
      </c>
      <c r="B209" s="314">
        <v>0</v>
      </c>
      <c r="C209" s="314">
        <v>0</v>
      </c>
      <c r="D209" s="315">
        <v>0</v>
      </c>
      <c r="E209" s="315">
        <v>0</v>
      </c>
      <c r="F209" s="315">
        <v>0</v>
      </c>
      <c r="G209" s="572">
        <v>0</v>
      </c>
      <c r="H209" s="621">
        <v>0</v>
      </c>
      <c r="I209" s="621">
        <v>0</v>
      </c>
      <c r="J209" s="621">
        <v>0</v>
      </c>
    </row>
    <row r="210" spans="1:10" s="86" customFormat="1" ht="12.75">
      <c r="A210" s="145" t="s">
        <v>832</v>
      </c>
      <c r="B210" s="314">
        <v>0</v>
      </c>
      <c r="C210" s="314">
        <v>0</v>
      </c>
      <c r="D210" s="315">
        <v>0</v>
      </c>
      <c r="E210" s="315">
        <v>0</v>
      </c>
      <c r="F210" s="315">
        <v>0</v>
      </c>
      <c r="G210" s="572">
        <v>0</v>
      </c>
      <c r="H210" s="621">
        <v>0</v>
      </c>
      <c r="I210" s="621">
        <v>0</v>
      </c>
      <c r="J210" s="621">
        <v>0</v>
      </c>
    </row>
    <row r="211" spans="1:10" s="86" customFormat="1" ht="12.75">
      <c r="A211" s="145" t="s">
        <v>833</v>
      </c>
      <c r="B211" s="314">
        <v>0</v>
      </c>
      <c r="C211" s="314">
        <v>0</v>
      </c>
      <c r="D211" s="315">
        <v>0</v>
      </c>
      <c r="E211" s="315">
        <v>0</v>
      </c>
      <c r="F211" s="315">
        <v>0</v>
      </c>
      <c r="G211" s="572">
        <v>0</v>
      </c>
      <c r="H211" s="621">
        <v>0</v>
      </c>
      <c r="I211" s="621">
        <v>0</v>
      </c>
      <c r="J211" s="621">
        <v>0</v>
      </c>
    </row>
    <row r="212" spans="1:10" s="86" customFormat="1" ht="12.75">
      <c r="A212" s="145" t="s">
        <v>834</v>
      </c>
      <c r="B212" s="314">
        <v>0</v>
      </c>
      <c r="C212" s="314">
        <v>0</v>
      </c>
      <c r="D212" s="315">
        <v>0</v>
      </c>
      <c r="E212" s="315">
        <v>0</v>
      </c>
      <c r="F212" s="315">
        <v>0</v>
      </c>
      <c r="G212" s="572">
        <v>0</v>
      </c>
      <c r="H212" s="621">
        <v>0</v>
      </c>
      <c r="I212" s="621">
        <v>0</v>
      </c>
      <c r="J212" s="621">
        <v>0</v>
      </c>
    </row>
    <row r="213" spans="1:10" s="86" customFormat="1" ht="12.75">
      <c r="A213" s="145" t="s">
        <v>835</v>
      </c>
      <c r="B213" s="314">
        <v>0</v>
      </c>
      <c r="C213" s="314">
        <v>0</v>
      </c>
      <c r="D213" s="315">
        <v>0</v>
      </c>
      <c r="E213" s="315">
        <v>0</v>
      </c>
      <c r="F213" s="315">
        <v>0</v>
      </c>
      <c r="G213" s="572">
        <v>0</v>
      </c>
      <c r="H213" s="621">
        <v>0</v>
      </c>
      <c r="I213" s="621">
        <v>0</v>
      </c>
      <c r="J213" s="621">
        <v>0</v>
      </c>
    </row>
    <row r="214" spans="1:10" s="86" customFormat="1" ht="12.75">
      <c r="A214" s="147" t="s">
        <v>836</v>
      </c>
      <c r="B214" s="316">
        <v>7699.7690000000002</v>
      </c>
      <c r="C214" s="316">
        <v>7699.7690000000002</v>
      </c>
      <c r="D214" s="317">
        <v>7699.7690000000002</v>
      </c>
      <c r="E214" s="317">
        <v>7699.7690000000002</v>
      </c>
      <c r="F214" s="317">
        <v>7699.7690000000002</v>
      </c>
      <c r="G214" s="573">
        <v>7699.7690000000002</v>
      </c>
      <c r="H214" s="622">
        <v>7699.7690000000002</v>
      </c>
      <c r="I214" s="622">
        <v>7700</v>
      </c>
      <c r="J214" s="622">
        <v>7699.7690000000002</v>
      </c>
    </row>
    <row r="215" spans="1:10" s="86" customFormat="1" ht="12.75">
      <c r="A215" s="145" t="s">
        <v>837</v>
      </c>
      <c r="B215" s="314">
        <v>0</v>
      </c>
      <c r="C215" s="314">
        <v>0</v>
      </c>
      <c r="D215" s="315">
        <v>0</v>
      </c>
      <c r="E215" s="315">
        <v>0</v>
      </c>
      <c r="F215" s="315">
        <v>0</v>
      </c>
      <c r="G215" s="572">
        <v>0</v>
      </c>
      <c r="H215" s="621">
        <v>0</v>
      </c>
      <c r="I215" s="621">
        <v>0</v>
      </c>
      <c r="J215" s="621">
        <v>0</v>
      </c>
    </row>
    <row r="216" spans="1:10" s="86" customFormat="1" ht="12.75">
      <c r="A216" s="145" t="s">
        <v>838</v>
      </c>
      <c r="B216" s="314">
        <v>0</v>
      </c>
      <c r="C216" s="314">
        <v>0</v>
      </c>
      <c r="D216" s="315">
        <v>0</v>
      </c>
      <c r="E216" s="315">
        <v>0</v>
      </c>
      <c r="F216" s="315">
        <v>0</v>
      </c>
      <c r="G216" s="572">
        <v>0</v>
      </c>
      <c r="H216" s="621">
        <v>0</v>
      </c>
      <c r="I216" s="621">
        <v>0</v>
      </c>
      <c r="J216" s="621">
        <v>0</v>
      </c>
    </row>
    <row r="217" spans="1:10" s="86" customFormat="1" ht="12.75">
      <c r="A217" s="145" t="s">
        <v>839</v>
      </c>
      <c r="B217" s="314">
        <v>0</v>
      </c>
      <c r="C217" s="314">
        <v>0</v>
      </c>
      <c r="D217" s="315">
        <v>0</v>
      </c>
      <c r="E217" s="315">
        <v>0</v>
      </c>
      <c r="F217" s="315">
        <v>0</v>
      </c>
      <c r="G217" s="572">
        <v>0</v>
      </c>
      <c r="H217" s="621">
        <v>0</v>
      </c>
      <c r="I217" s="621">
        <v>0</v>
      </c>
      <c r="J217" s="621">
        <v>0</v>
      </c>
    </row>
    <row r="218" spans="1:10" s="86" customFormat="1" ht="12.75">
      <c r="A218" s="145" t="s">
        <v>840</v>
      </c>
      <c r="B218" s="314">
        <v>0</v>
      </c>
      <c r="C218" s="314">
        <v>0</v>
      </c>
      <c r="D218" s="315">
        <v>0</v>
      </c>
      <c r="E218" s="315">
        <v>0</v>
      </c>
      <c r="F218" s="315">
        <v>0</v>
      </c>
      <c r="G218" s="572">
        <v>0</v>
      </c>
      <c r="H218" s="621">
        <v>0</v>
      </c>
      <c r="I218" s="621">
        <v>0</v>
      </c>
      <c r="J218" s="621">
        <v>0</v>
      </c>
    </row>
    <row r="219" spans="1:10" s="86" customFormat="1" ht="12.75">
      <c r="A219" s="145" t="s">
        <v>841</v>
      </c>
      <c r="B219" s="314">
        <v>0</v>
      </c>
      <c r="C219" s="314">
        <v>0</v>
      </c>
      <c r="D219" s="315">
        <v>0</v>
      </c>
      <c r="E219" s="315">
        <v>0</v>
      </c>
      <c r="F219" s="315">
        <v>0</v>
      </c>
      <c r="G219" s="572">
        <v>0</v>
      </c>
      <c r="H219" s="621">
        <v>0</v>
      </c>
      <c r="I219" s="621">
        <v>0</v>
      </c>
      <c r="J219" s="621">
        <v>0</v>
      </c>
    </row>
    <row r="220" spans="1:10" s="86" customFormat="1" ht="12.75">
      <c r="A220" s="147" t="s">
        <v>842</v>
      </c>
      <c r="B220" s="316">
        <v>0</v>
      </c>
      <c r="C220" s="316">
        <v>0</v>
      </c>
      <c r="D220" s="317">
        <v>0</v>
      </c>
      <c r="E220" s="317">
        <v>0</v>
      </c>
      <c r="F220" s="317">
        <v>0</v>
      </c>
      <c r="G220" s="573">
        <v>0</v>
      </c>
      <c r="H220" s="622">
        <v>0</v>
      </c>
      <c r="I220" s="621">
        <v>0</v>
      </c>
      <c r="J220" s="622">
        <v>0</v>
      </c>
    </row>
    <row r="221" spans="1:10" s="86" customFormat="1" ht="12.75">
      <c r="A221" s="147" t="s">
        <v>843</v>
      </c>
      <c r="B221" s="316">
        <v>31158.577000000001</v>
      </c>
      <c r="C221" s="316">
        <v>26736.687000000002</v>
      </c>
      <c r="D221" s="317">
        <v>32040.596000000001</v>
      </c>
      <c r="E221" s="317">
        <v>43925.756000000001</v>
      </c>
      <c r="F221" s="317">
        <v>29806.920999999998</v>
      </c>
      <c r="G221" s="573">
        <v>36100.748</v>
      </c>
      <c r="H221" s="622">
        <v>4209.607</v>
      </c>
      <c r="I221" s="622">
        <v>4210</v>
      </c>
      <c r="J221" s="622">
        <v>4209.607</v>
      </c>
    </row>
    <row r="222" spans="1:10" s="86" customFormat="1" ht="12.75">
      <c r="A222" s="147" t="s">
        <v>844</v>
      </c>
      <c r="B222" s="316">
        <v>10858.612999999999</v>
      </c>
      <c r="C222" s="316">
        <v>10858.612999999999</v>
      </c>
      <c r="D222" s="317">
        <v>10858.612999999999</v>
      </c>
      <c r="E222" s="317">
        <v>10136.722</v>
      </c>
      <c r="F222" s="317">
        <v>9414.8310000000001</v>
      </c>
      <c r="G222" s="573">
        <v>8138.259</v>
      </c>
      <c r="H222" s="622">
        <v>4308.5420000000004</v>
      </c>
      <c r="I222" s="622">
        <v>4309</v>
      </c>
      <c r="J222" s="622">
        <v>4308.5420000000004</v>
      </c>
    </row>
    <row r="223" spans="1:10" s="86" customFormat="1" ht="12.75">
      <c r="A223" s="147" t="s">
        <v>845</v>
      </c>
      <c r="B223" s="316">
        <v>0</v>
      </c>
      <c r="C223" s="316">
        <v>0</v>
      </c>
      <c r="D223" s="317">
        <v>0</v>
      </c>
      <c r="E223" s="317">
        <v>0</v>
      </c>
      <c r="F223" s="317">
        <v>0</v>
      </c>
      <c r="G223" s="573">
        <v>0</v>
      </c>
      <c r="H223" s="622">
        <v>0</v>
      </c>
      <c r="I223" s="622">
        <v>0</v>
      </c>
      <c r="J223" s="622">
        <v>0</v>
      </c>
    </row>
    <row r="224" spans="1:10" s="86" customFormat="1" ht="12.75">
      <c r="A224" s="147" t="s">
        <v>846</v>
      </c>
      <c r="B224" s="316">
        <v>9331.1319999999996</v>
      </c>
      <c r="C224" s="316">
        <v>12306.288</v>
      </c>
      <c r="D224" s="317">
        <v>22940.538</v>
      </c>
      <c r="E224" s="317">
        <v>13989.019</v>
      </c>
      <c r="F224" s="317">
        <v>18180.749</v>
      </c>
      <c r="G224" s="573">
        <v>17945.632000000001</v>
      </c>
      <c r="H224" s="622">
        <v>15037.779</v>
      </c>
      <c r="I224" s="622">
        <v>13841</v>
      </c>
      <c r="J224" s="622">
        <v>15015.334999999999</v>
      </c>
    </row>
    <row r="225" spans="1:10" s="86" customFormat="1" ht="12.75">
      <c r="A225" s="145" t="s">
        <v>214</v>
      </c>
      <c r="B225" s="314">
        <v>0</v>
      </c>
      <c r="C225" s="314">
        <v>0</v>
      </c>
      <c r="D225" s="315">
        <v>0</v>
      </c>
      <c r="E225" s="315">
        <v>0</v>
      </c>
      <c r="F225" s="315">
        <v>0</v>
      </c>
      <c r="G225" s="572">
        <v>0</v>
      </c>
      <c r="H225" s="621">
        <v>0</v>
      </c>
      <c r="I225" s="621">
        <v>0</v>
      </c>
      <c r="J225" s="621">
        <v>0</v>
      </c>
    </row>
    <row r="226" spans="1:10" s="86" customFormat="1" ht="12.75">
      <c r="A226" s="145" t="s">
        <v>215</v>
      </c>
      <c r="B226" s="314">
        <v>0</v>
      </c>
      <c r="C226" s="314">
        <v>0</v>
      </c>
      <c r="D226" s="315">
        <v>0</v>
      </c>
      <c r="E226" s="315">
        <v>0</v>
      </c>
      <c r="F226" s="315">
        <v>0</v>
      </c>
      <c r="G226" s="572">
        <v>0</v>
      </c>
      <c r="H226" s="621">
        <v>0</v>
      </c>
      <c r="I226" s="621">
        <v>0</v>
      </c>
      <c r="J226" s="621">
        <v>0</v>
      </c>
    </row>
    <row r="227" spans="1:10" s="86" customFormat="1" ht="12.75">
      <c r="A227" s="147" t="s">
        <v>847</v>
      </c>
      <c r="B227" s="316">
        <v>0</v>
      </c>
      <c r="C227" s="316">
        <v>0</v>
      </c>
      <c r="D227" s="317">
        <v>0</v>
      </c>
      <c r="E227" s="317">
        <v>0</v>
      </c>
      <c r="F227" s="317">
        <v>0</v>
      </c>
      <c r="G227" s="573">
        <v>0</v>
      </c>
      <c r="H227" s="622">
        <v>0</v>
      </c>
      <c r="I227" s="621">
        <v>0</v>
      </c>
      <c r="J227" s="622">
        <v>0</v>
      </c>
    </row>
    <row r="228" spans="1:10" s="86" customFormat="1" ht="12.75">
      <c r="A228" s="147" t="s">
        <v>848</v>
      </c>
      <c r="B228" s="316">
        <v>31.98</v>
      </c>
      <c r="C228" s="316">
        <v>97.518000000000001</v>
      </c>
      <c r="D228" s="317">
        <v>30.131</v>
      </c>
      <c r="E228" s="317">
        <v>50.75</v>
      </c>
      <c r="F228" s="317">
        <v>0</v>
      </c>
      <c r="G228" s="573">
        <v>0</v>
      </c>
      <c r="H228" s="622">
        <v>0</v>
      </c>
      <c r="I228" s="621">
        <v>0</v>
      </c>
      <c r="J228" s="622">
        <v>0</v>
      </c>
    </row>
    <row r="229" spans="1:10" s="86" customFormat="1" ht="12.75">
      <c r="A229" s="147" t="s">
        <v>216</v>
      </c>
      <c r="B229" s="316">
        <v>59080.071000000004</v>
      </c>
      <c r="C229" s="316">
        <v>57698.875</v>
      </c>
      <c r="D229" s="317">
        <v>73569.646999999997</v>
      </c>
      <c r="E229" s="317">
        <v>75802.016000000003</v>
      </c>
      <c r="F229" s="317">
        <v>65102.27</v>
      </c>
      <c r="G229" s="573">
        <v>69884.407999999996</v>
      </c>
      <c r="H229" s="622">
        <v>31255.697</v>
      </c>
      <c r="I229" s="622">
        <v>30059</v>
      </c>
      <c r="J229" s="622">
        <v>31233.253000000001</v>
      </c>
    </row>
    <row r="230" spans="1:10" s="86" customFormat="1" ht="12.75">
      <c r="A230" s="147" t="s">
        <v>217</v>
      </c>
      <c r="B230" s="622">
        <f t="shared" ref="B230:G230" si="8">+B229+B206</f>
        <v>74004.716</v>
      </c>
      <c r="C230" s="622">
        <f t="shared" si="8"/>
        <v>75284.536999999997</v>
      </c>
      <c r="D230" s="622">
        <f t="shared" si="8"/>
        <v>95549.676999999996</v>
      </c>
      <c r="E230" s="622">
        <f t="shared" si="8"/>
        <v>97148.837</v>
      </c>
      <c r="F230" s="622">
        <f t="shared" si="8"/>
        <v>101825.611</v>
      </c>
      <c r="G230" s="622">
        <f t="shared" si="8"/>
        <v>106430.655</v>
      </c>
      <c r="H230" s="622">
        <f>+H229+H206</f>
        <v>56421.718999999997</v>
      </c>
      <c r="I230" s="622">
        <f>+I229+I206</f>
        <v>74628</v>
      </c>
      <c r="J230" s="622">
        <f>+J229+J206</f>
        <v>96827.28899999999</v>
      </c>
    </row>
    <row r="231" spans="1:10" s="86" customFormat="1" ht="12.75">
      <c r="A231" s="145" t="s">
        <v>849</v>
      </c>
      <c r="B231" s="314">
        <v>24291.159</v>
      </c>
      <c r="C231" s="314">
        <v>29144.075000000001</v>
      </c>
      <c r="D231" s="315">
        <v>33462.873</v>
      </c>
      <c r="E231" s="315">
        <v>36423.322999999997</v>
      </c>
      <c r="F231" s="315">
        <v>32953.714</v>
      </c>
      <c r="G231" s="572">
        <v>27870.010999999999</v>
      </c>
      <c r="H231" s="621">
        <v>25629</v>
      </c>
      <c r="I231" s="621">
        <v>30408</v>
      </c>
      <c r="J231" s="621">
        <v>39409.232000000004</v>
      </c>
    </row>
    <row r="232" spans="1:10" s="86" customFormat="1" ht="12.75">
      <c r="A232" s="145" t="s">
        <v>850</v>
      </c>
      <c r="B232" s="314">
        <v>10217.724</v>
      </c>
      <c r="C232" s="314">
        <v>1032.8</v>
      </c>
      <c r="D232" s="315">
        <v>1534.6210000000001</v>
      </c>
      <c r="E232" s="315">
        <v>10709.848</v>
      </c>
      <c r="F232" s="315">
        <v>11175.017</v>
      </c>
      <c r="G232" s="572">
        <v>3829.7159999999999</v>
      </c>
      <c r="H232" s="621">
        <v>0</v>
      </c>
      <c r="I232" s="621">
        <v>0</v>
      </c>
      <c r="J232" s="621">
        <v>0</v>
      </c>
    </row>
    <row r="233" spans="1:10" s="86" customFormat="1" ht="12.75">
      <c r="A233" s="145" t="s">
        <v>851</v>
      </c>
      <c r="B233" s="314">
        <v>8983.81</v>
      </c>
      <c r="C233" s="314">
        <v>18210.080000000002</v>
      </c>
      <c r="D233" s="315">
        <v>21214.891</v>
      </c>
      <c r="E233" s="315">
        <v>12221.758</v>
      </c>
      <c r="F233" s="315">
        <v>16341.688</v>
      </c>
      <c r="G233" s="572">
        <v>15399.165000000001</v>
      </c>
      <c r="H233" s="621">
        <v>11571</v>
      </c>
      <c r="I233" s="621">
        <v>12080</v>
      </c>
      <c r="J233" s="621">
        <v>9466.5660000000007</v>
      </c>
    </row>
    <row r="234" spans="1:10" s="86" customFormat="1" ht="12.75">
      <c r="A234" s="145" t="s">
        <v>852</v>
      </c>
      <c r="B234" s="314">
        <v>43492.692999999999</v>
      </c>
      <c r="C234" s="314">
        <v>48386.955000000002</v>
      </c>
      <c r="D234" s="315">
        <v>56212.385000000002</v>
      </c>
      <c r="E234" s="315">
        <v>59354.928999999996</v>
      </c>
      <c r="F234" s="315">
        <v>60470.419000000002</v>
      </c>
      <c r="G234" s="572">
        <v>47098.892</v>
      </c>
      <c r="H234" s="621">
        <v>0</v>
      </c>
      <c r="I234" s="621">
        <v>0</v>
      </c>
      <c r="J234" s="621">
        <v>1486.4079999999999</v>
      </c>
    </row>
    <row r="235" spans="1:10" s="86" customFormat="1" ht="12.75">
      <c r="A235" s="145" t="s">
        <v>853</v>
      </c>
      <c r="B235" s="314">
        <v>24291.159</v>
      </c>
      <c r="C235" s="314">
        <v>29144.075000000001</v>
      </c>
      <c r="D235" s="315">
        <v>33462.873</v>
      </c>
      <c r="E235" s="315">
        <v>36423.322999999997</v>
      </c>
      <c r="F235" s="315">
        <v>32953.714</v>
      </c>
      <c r="G235" s="572">
        <v>27870.010999999999</v>
      </c>
      <c r="H235" s="621">
        <v>0</v>
      </c>
      <c r="I235" s="621">
        <v>0</v>
      </c>
      <c r="J235" s="621">
        <v>0</v>
      </c>
    </row>
    <row r="236" spans="1:10" s="86" customFormat="1" ht="12.75">
      <c r="A236" s="145" t="s">
        <v>854</v>
      </c>
      <c r="B236" s="314">
        <v>10217.724</v>
      </c>
      <c r="C236" s="314">
        <v>1032.8</v>
      </c>
      <c r="D236" s="315">
        <v>1534.6210000000001</v>
      </c>
      <c r="E236" s="315">
        <v>10709.848</v>
      </c>
      <c r="F236" s="315">
        <v>11175.017</v>
      </c>
      <c r="G236" s="572">
        <v>3829.7159999999999</v>
      </c>
      <c r="H236" s="621">
        <v>0</v>
      </c>
      <c r="I236" s="621">
        <v>0</v>
      </c>
      <c r="J236" s="621">
        <v>1486.4079999999999</v>
      </c>
    </row>
    <row r="237" spans="1:10" s="86" customFormat="1" ht="12.75">
      <c r="A237" s="145" t="s">
        <v>855</v>
      </c>
      <c r="B237" s="314">
        <v>8983.81</v>
      </c>
      <c r="C237" s="314">
        <v>18210.080000000002</v>
      </c>
      <c r="D237" s="315">
        <v>21214.891</v>
      </c>
      <c r="E237" s="315">
        <v>12221.758</v>
      </c>
      <c r="F237" s="315">
        <v>16341.688</v>
      </c>
      <c r="G237" s="572">
        <v>15399.165000000001</v>
      </c>
      <c r="H237" s="621">
        <v>0</v>
      </c>
      <c r="I237" s="621">
        <v>0</v>
      </c>
      <c r="J237" s="621">
        <v>0</v>
      </c>
    </row>
    <row r="238" spans="1:10" s="86" customFormat="1" ht="13.5" thickBot="1">
      <c r="A238" s="149" t="s">
        <v>856</v>
      </c>
      <c r="B238" s="623">
        <v>43492.692999999999</v>
      </c>
      <c r="C238" s="623">
        <v>48386.955000000002</v>
      </c>
      <c r="D238" s="624">
        <v>56212.385000000002</v>
      </c>
      <c r="E238" s="624">
        <v>59354.928999999996</v>
      </c>
      <c r="F238" s="624">
        <v>60470.419000000002</v>
      </c>
      <c r="G238" s="625">
        <v>47098.892</v>
      </c>
      <c r="H238" s="626">
        <v>37200</v>
      </c>
      <c r="I238" s="626">
        <v>42488</v>
      </c>
      <c r="J238" s="626">
        <v>48875.798000000003</v>
      </c>
    </row>
    <row r="239" spans="1:10" s="86" customFormat="1" ht="26.25" thickTop="1">
      <c r="A239" s="85" t="s">
        <v>422</v>
      </c>
      <c r="B239" s="266"/>
      <c r="C239" s="91"/>
      <c r="D239" s="91"/>
      <c r="E239" s="91"/>
      <c r="F239" s="91"/>
      <c r="G239" s="92"/>
      <c r="H239" s="92"/>
      <c r="I239" s="718"/>
      <c r="J239" s="92"/>
    </row>
    <row r="240" spans="1:10">
      <c r="B240" s="955">
        <f>+B230-B106</f>
        <v>0</v>
      </c>
      <c r="C240" s="955">
        <f t="shared" ref="C240:I240" si="9">+C230-C106</f>
        <v>0</v>
      </c>
      <c r="D240" s="955">
        <f t="shared" si="9"/>
        <v>0</v>
      </c>
      <c r="E240" s="955">
        <f t="shared" si="9"/>
        <v>0</v>
      </c>
      <c r="F240" s="955">
        <f t="shared" si="9"/>
        <v>0</v>
      </c>
      <c r="G240" s="955">
        <f t="shared" si="9"/>
        <v>0</v>
      </c>
      <c r="H240" s="955">
        <f t="shared" si="9"/>
        <v>0</v>
      </c>
      <c r="I240" s="955">
        <f t="shared" si="9"/>
        <v>0</v>
      </c>
      <c r="J240" s="955">
        <f>+J230-J106</f>
        <v>0</v>
      </c>
    </row>
    <row r="242" spans="1:14" ht="15.75" thickBot="1"/>
    <row r="243" spans="1:14" ht="15.75" thickTop="1">
      <c r="A243" s="627" t="s">
        <v>712</v>
      </c>
      <c r="B243" s="628">
        <f t="shared" ref="B243:H243" si="10">+B48</f>
        <v>0</v>
      </c>
      <c r="C243" s="628">
        <f t="shared" si="10"/>
        <v>0</v>
      </c>
      <c r="D243" s="628">
        <f t="shared" si="10"/>
        <v>0</v>
      </c>
      <c r="E243" s="628">
        <f t="shared" si="10"/>
        <v>0</v>
      </c>
      <c r="F243" s="628">
        <f t="shared" si="10"/>
        <v>0</v>
      </c>
      <c r="G243" s="629">
        <f t="shared" si="10"/>
        <v>0</v>
      </c>
      <c r="H243" s="630">
        <f t="shared" si="10"/>
        <v>0</v>
      </c>
      <c r="I243" s="629">
        <f>+I48</f>
        <v>0</v>
      </c>
      <c r="J243" s="630">
        <f>+J48</f>
        <v>0</v>
      </c>
    </row>
    <row r="244" spans="1:14">
      <c r="A244" s="631" t="s">
        <v>302</v>
      </c>
      <c r="B244" s="66">
        <f t="shared" ref="B244:G244" si="11">+B10</f>
        <v>13370.398999999999</v>
      </c>
      <c r="C244" s="66">
        <f t="shared" si="11"/>
        <v>14158.558999999999</v>
      </c>
      <c r="D244" s="66">
        <f t="shared" si="11"/>
        <v>14877.136</v>
      </c>
      <c r="E244" s="66">
        <f t="shared" si="11"/>
        <v>16126.338</v>
      </c>
      <c r="F244" s="66">
        <f t="shared" si="11"/>
        <v>18443.396000000001</v>
      </c>
      <c r="G244" s="617">
        <f t="shared" si="11"/>
        <v>17205.099999999999</v>
      </c>
      <c r="H244" s="632">
        <f>+H10</f>
        <v>19732.951000000001</v>
      </c>
      <c r="I244" s="617">
        <f>+I10</f>
        <v>22303</v>
      </c>
      <c r="J244" s="632">
        <f>+J10</f>
        <v>28630.945</v>
      </c>
      <c r="K244" s="532"/>
    </row>
    <row r="245" spans="1:14">
      <c r="A245" s="631" t="s">
        <v>303</v>
      </c>
      <c r="B245" s="66">
        <f t="shared" ref="B245:G245" si="12">+B108+B127+B128+B129</f>
        <v>8378.4140000000007</v>
      </c>
      <c r="C245" s="66">
        <f t="shared" si="12"/>
        <v>10025.474</v>
      </c>
      <c r="D245" s="66">
        <f t="shared" si="12"/>
        <v>14401.983</v>
      </c>
      <c r="E245" s="66">
        <f t="shared" si="12"/>
        <v>12379.909</v>
      </c>
      <c r="F245" s="66">
        <f t="shared" si="12"/>
        <v>26721.35</v>
      </c>
      <c r="G245" s="617">
        <f t="shared" si="12"/>
        <v>26829.416000000001</v>
      </c>
      <c r="H245" s="632">
        <f>+H108+H127+H128+H129</f>
        <v>15399.891000000001</v>
      </c>
      <c r="I245" s="617">
        <f>+I108+I127+I128+I129</f>
        <v>35363</v>
      </c>
      <c r="J245" s="632">
        <f>+J108+J127+J128+J129</f>
        <v>58669.265999999996</v>
      </c>
      <c r="K245" s="532"/>
    </row>
    <row r="246" spans="1:14">
      <c r="A246" s="631" t="s">
        <v>86</v>
      </c>
      <c r="B246" s="66">
        <f t="shared" ref="B246:G246" si="13">+B8</f>
        <v>6830.6859999999997</v>
      </c>
      <c r="C246" s="66">
        <f t="shared" si="13"/>
        <v>6226.7349999999997</v>
      </c>
      <c r="D246" s="66">
        <f t="shared" si="13"/>
        <v>10449.946</v>
      </c>
      <c r="E246" s="66">
        <f t="shared" si="13"/>
        <v>8903.0879999999997</v>
      </c>
      <c r="F246" s="66">
        <f t="shared" si="13"/>
        <v>11296.766</v>
      </c>
      <c r="G246" s="617">
        <f t="shared" si="13"/>
        <v>7637.2430000000004</v>
      </c>
      <c r="H246" s="632">
        <f>+H8</f>
        <v>7760.9030000000002</v>
      </c>
      <c r="I246" s="617">
        <f>+I8</f>
        <v>11832</v>
      </c>
      <c r="J246" s="632">
        <f>+J8</f>
        <v>7493.665</v>
      </c>
      <c r="K246" s="532"/>
    </row>
    <row r="247" spans="1:14">
      <c r="A247" s="633" t="s">
        <v>673</v>
      </c>
      <c r="B247" s="66">
        <f t="shared" ref="B247:J247" si="14">+B243+B244-B245+B246</f>
        <v>11822.670999999998</v>
      </c>
      <c r="C247" s="66">
        <f t="shared" si="14"/>
        <v>10359.82</v>
      </c>
      <c r="D247" s="66">
        <f t="shared" si="14"/>
        <v>10925.099</v>
      </c>
      <c r="E247" s="66">
        <f t="shared" si="14"/>
        <v>12649.517</v>
      </c>
      <c r="F247" s="66">
        <f t="shared" si="14"/>
        <v>3018.8120000000017</v>
      </c>
      <c r="G247" s="617">
        <f t="shared" si="14"/>
        <v>-1987.0730000000021</v>
      </c>
      <c r="H247" s="632">
        <f t="shared" si="14"/>
        <v>12093.963</v>
      </c>
      <c r="I247" s="617">
        <f t="shared" si="14"/>
        <v>-1228</v>
      </c>
      <c r="J247" s="632">
        <f t="shared" si="14"/>
        <v>-22544.655999999995</v>
      </c>
      <c r="K247" s="532"/>
    </row>
    <row r="248" spans="1:14" s="64" customFormat="1">
      <c r="A248" s="633" t="s">
        <v>82</v>
      </c>
      <c r="B248" s="531">
        <f t="shared" ref="B248:J248" si="15">+B56-B157+B107</f>
        <v>48656.986000000004</v>
      </c>
      <c r="C248" s="531">
        <f t="shared" si="15"/>
        <v>47297.266999999993</v>
      </c>
      <c r="D248" s="531">
        <f t="shared" si="15"/>
        <v>65233.191999999995</v>
      </c>
      <c r="E248" s="531">
        <f t="shared" si="15"/>
        <v>19659.503999999997</v>
      </c>
      <c r="F248" s="531">
        <f t="shared" si="15"/>
        <v>9551.8050000000003</v>
      </c>
      <c r="G248" s="618">
        <f t="shared" si="15"/>
        <v>10031.657999999996</v>
      </c>
      <c r="H248" s="634">
        <f t="shared" si="15"/>
        <v>26057.464999999997</v>
      </c>
      <c r="I248" s="618">
        <f t="shared" si="15"/>
        <v>21408</v>
      </c>
      <c r="J248" s="634">
        <f t="shared" si="15"/>
        <v>23574.333000000013</v>
      </c>
      <c r="K248" s="532"/>
      <c r="L248" s="532"/>
      <c r="M248" s="532"/>
      <c r="N248" s="532"/>
    </row>
    <row r="249" spans="1:14" ht="15.75" thickBot="1">
      <c r="A249" s="635" t="s">
        <v>80</v>
      </c>
      <c r="B249" s="69">
        <f t="shared" ref="B249:J249" si="16">+B105</f>
        <v>10423.084999999999</v>
      </c>
      <c r="C249" s="69">
        <f t="shared" si="16"/>
        <v>10401.608</v>
      </c>
      <c r="D249" s="69">
        <f t="shared" si="16"/>
        <v>8336.4549999999999</v>
      </c>
      <c r="E249" s="69">
        <f t="shared" si="16"/>
        <v>56142.512000000002</v>
      </c>
      <c r="F249" s="69">
        <f t="shared" si="16"/>
        <v>55550.464999999997</v>
      </c>
      <c r="G249" s="619">
        <f t="shared" si="16"/>
        <v>59852.75</v>
      </c>
      <c r="H249" s="636">
        <f t="shared" si="16"/>
        <v>6474.8050000000003</v>
      </c>
      <c r="I249" s="619">
        <f t="shared" si="16"/>
        <v>8934</v>
      </c>
      <c r="J249" s="636">
        <f t="shared" si="16"/>
        <v>7658.92</v>
      </c>
      <c r="K249" s="532"/>
    </row>
    <row r="250" spans="1:14" ht="16.5" thickTop="1" thickBot="1">
      <c r="A250" s="637" t="s">
        <v>64</v>
      </c>
      <c r="B250" s="638">
        <f t="shared" ref="B250:J250" si="17">+SUM(B248:B249)</f>
        <v>59080.071000000004</v>
      </c>
      <c r="C250" s="638">
        <f t="shared" si="17"/>
        <v>57698.874999999993</v>
      </c>
      <c r="D250" s="638">
        <f t="shared" si="17"/>
        <v>73569.646999999997</v>
      </c>
      <c r="E250" s="638">
        <f t="shared" si="17"/>
        <v>75802.016000000003</v>
      </c>
      <c r="F250" s="638">
        <f t="shared" si="17"/>
        <v>65102.27</v>
      </c>
      <c r="G250" s="639">
        <f t="shared" si="17"/>
        <v>69884.407999999996</v>
      </c>
      <c r="H250" s="640">
        <f t="shared" si="17"/>
        <v>32532.269999999997</v>
      </c>
      <c r="I250" s="639">
        <f t="shared" si="17"/>
        <v>30342</v>
      </c>
      <c r="J250" s="640">
        <f t="shared" si="17"/>
        <v>31233.253000000012</v>
      </c>
      <c r="K250" s="532"/>
    </row>
    <row r="251" spans="1:14" ht="15.75" thickTop="1"/>
    <row r="252" spans="1:14">
      <c r="C252" s="240">
        <f>+C247/('Anexo 2 - ER'!C4/365)</f>
        <v>55.407995823066564</v>
      </c>
      <c r="D252" s="240">
        <f>+D247/('Anexo 2 - ER'!D4/365)</f>
        <v>52.454528529861655</v>
      </c>
      <c r="E252" s="240">
        <f>+E247/('Anexo 2 - ER'!E4/365)</f>
        <v>57.794844133786789</v>
      </c>
      <c r="F252" s="240">
        <f>+F247/('Anexo 2 - ER'!F4/365)</f>
        <v>12.848628267674428</v>
      </c>
      <c r="G252" s="240">
        <f>+G247/('Anexo 2 - ER'!G4/365)</f>
        <v>-7.9573690690015688</v>
      </c>
      <c r="H252" s="240">
        <f>+H247/('Anexo 2 - ER'!H4/365)</f>
        <v>47.706915305670819</v>
      </c>
      <c r="I252" s="240">
        <f>+I247/('Anexo 2 - ER'!I4/365)</f>
        <v>-4.4955396146986955</v>
      </c>
      <c r="J252" s="240">
        <f>+J247/('Anexo 2 - ER'!J4/365)</f>
        <v>-82.35523745137904</v>
      </c>
    </row>
    <row r="254" spans="1:14" s="64" customFormat="1" ht="15.75" thickBot="1">
      <c r="C254" s="42"/>
      <c r="D254" s="42"/>
      <c r="E254" s="42"/>
      <c r="F254" s="42"/>
      <c r="G254" s="41"/>
      <c r="H254" s="41"/>
      <c r="I254" s="719"/>
      <c r="J254" s="41"/>
    </row>
    <row r="255" spans="1:14" s="64" customFormat="1" ht="15.75" thickTop="1">
      <c r="A255" s="695"/>
      <c r="B255" s="696">
        <v>2007</v>
      </c>
      <c r="C255" s="697">
        <v>2011</v>
      </c>
      <c r="D255" s="697">
        <v>2012</v>
      </c>
      <c r="E255" s="697" t="s">
        <v>708</v>
      </c>
      <c r="F255" s="698" t="s">
        <v>659</v>
      </c>
      <c r="G255" s="697">
        <v>2013</v>
      </c>
      <c r="H255" s="697">
        <v>2014</v>
      </c>
      <c r="I255" s="697" t="s">
        <v>923</v>
      </c>
      <c r="J255" s="698" t="s">
        <v>658</v>
      </c>
    </row>
    <row r="256" spans="1:14">
      <c r="A256" s="631" t="s">
        <v>25</v>
      </c>
      <c r="B256" s="66">
        <v>0</v>
      </c>
      <c r="C256" s="66">
        <v>0</v>
      </c>
      <c r="D256" s="66">
        <v>0</v>
      </c>
      <c r="E256" s="502" t="e">
        <f t="shared" ref="E256:E262" si="18">+(D256/C256)-1</f>
        <v>#DIV/0!</v>
      </c>
      <c r="F256" s="692" t="e">
        <f t="shared" ref="F256:F262" si="19">+(D256/B256)-1</f>
        <v>#DIV/0!</v>
      </c>
      <c r="G256" s="66">
        <v>0</v>
      </c>
      <c r="H256" s="66">
        <v>0</v>
      </c>
      <c r="I256" s="502">
        <f>+IFERROR((H256/G256)-1,0)</f>
        <v>0</v>
      </c>
      <c r="J256" s="692">
        <f>+IFERROR((H256/B256)-1,0)</f>
        <v>0</v>
      </c>
    </row>
    <row r="257" spans="1:10">
      <c r="A257" s="631" t="s">
        <v>302</v>
      </c>
      <c r="B257" s="66">
        <v>14158.558999999999</v>
      </c>
      <c r="C257" s="66">
        <v>17205.099999999999</v>
      </c>
      <c r="D257" s="66">
        <v>19732.951000000001</v>
      </c>
      <c r="E257" s="502">
        <f t="shared" si="18"/>
        <v>0.14692451656776195</v>
      </c>
      <c r="F257" s="692">
        <f t="shared" si="19"/>
        <v>0.3937118177068728</v>
      </c>
      <c r="G257" s="66">
        <v>22303</v>
      </c>
      <c r="H257" s="66">
        <v>28630.945</v>
      </c>
      <c r="I257" s="502">
        <f t="shared" ref="I257:I262" si="20">+(H257/G257)-1</f>
        <v>0.28372618033448416</v>
      </c>
      <c r="J257" s="692">
        <f t="shared" ref="J257:J262" si="21">+(H257/B257)-1</f>
        <v>1.02216517938019</v>
      </c>
    </row>
    <row r="258" spans="1:10">
      <c r="A258" s="631" t="s">
        <v>303</v>
      </c>
      <c r="B258" s="66">
        <v>10025.474</v>
      </c>
      <c r="C258" s="66">
        <v>26829.416000000001</v>
      </c>
      <c r="D258" s="66">
        <v>15399.891000000001</v>
      </c>
      <c r="E258" s="502">
        <f t="shared" si="18"/>
        <v>-0.42600722281841685</v>
      </c>
      <c r="F258" s="692">
        <f t="shared" si="19"/>
        <v>0.53607609974351345</v>
      </c>
      <c r="G258" s="66">
        <v>35363</v>
      </c>
      <c r="H258" s="66">
        <v>58669.265999999996</v>
      </c>
      <c r="I258" s="502">
        <f t="shared" si="20"/>
        <v>0.65905794191669242</v>
      </c>
      <c r="J258" s="692">
        <f t="shared" si="21"/>
        <v>4.8520191663755741</v>
      </c>
    </row>
    <row r="259" spans="1:10">
      <c r="A259" s="631" t="s">
        <v>86</v>
      </c>
      <c r="B259" s="66">
        <v>6226.7349999999997</v>
      </c>
      <c r="C259" s="66">
        <v>7637.2430000000004</v>
      </c>
      <c r="D259" s="66">
        <v>7760.9030000000002</v>
      </c>
      <c r="E259" s="502">
        <f t="shared" si="18"/>
        <v>1.6191706876421241E-2</v>
      </c>
      <c r="F259" s="692">
        <f t="shared" si="19"/>
        <v>0.24638401987558489</v>
      </c>
      <c r="G259" s="66">
        <v>11832</v>
      </c>
      <c r="H259" s="66">
        <v>7493.665</v>
      </c>
      <c r="I259" s="502">
        <f t="shared" si="20"/>
        <v>-0.36666117308992563</v>
      </c>
      <c r="J259" s="692">
        <f t="shared" si="21"/>
        <v>0.20346618251780435</v>
      </c>
    </row>
    <row r="260" spans="1:10">
      <c r="A260" s="633" t="s">
        <v>82</v>
      </c>
      <c r="B260" s="66">
        <v>47297.266999999993</v>
      </c>
      <c r="C260" s="66">
        <v>10031.657999999996</v>
      </c>
      <c r="D260" s="66">
        <v>26057.464999999997</v>
      </c>
      <c r="E260" s="502">
        <f t="shared" si="18"/>
        <v>1.5975232608607679</v>
      </c>
      <c r="F260" s="692">
        <f t="shared" si="19"/>
        <v>-0.44907038709023084</v>
      </c>
      <c r="G260" s="618">
        <v>21408</v>
      </c>
      <c r="H260" s="634">
        <v>23574.333000000013</v>
      </c>
      <c r="I260" s="502">
        <f t="shared" si="20"/>
        <v>0.10119268497757905</v>
      </c>
      <c r="J260" s="692">
        <f t="shared" si="21"/>
        <v>-0.50157092586343266</v>
      </c>
    </row>
    <row r="261" spans="1:10" ht="15.75" thickBot="1">
      <c r="A261" s="633" t="s">
        <v>80</v>
      </c>
      <c r="B261" s="691">
        <v>10401.608</v>
      </c>
      <c r="C261" s="691">
        <v>59852.75</v>
      </c>
      <c r="D261" s="691">
        <v>6474.8050000000003</v>
      </c>
      <c r="E261" s="502">
        <f t="shared" si="18"/>
        <v>-0.89182109426885148</v>
      </c>
      <c r="F261" s="692">
        <f t="shared" si="19"/>
        <v>-0.3775188413176116</v>
      </c>
      <c r="G261" s="619">
        <v>8934</v>
      </c>
      <c r="H261" s="636">
        <v>7658.92</v>
      </c>
      <c r="I261" s="502">
        <f t="shared" si="20"/>
        <v>-0.14272218491157374</v>
      </c>
      <c r="J261" s="692">
        <f t="shared" si="21"/>
        <v>-0.26367923113426306</v>
      </c>
    </row>
    <row r="262" spans="1:10" ht="16.5" thickTop="1" thickBot="1">
      <c r="A262" s="635" t="s">
        <v>64</v>
      </c>
      <c r="B262" s="69">
        <v>57698.874999999993</v>
      </c>
      <c r="C262" s="69">
        <v>69884.407999999996</v>
      </c>
      <c r="D262" s="69">
        <v>32532.269999999997</v>
      </c>
      <c r="E262" s="693">
        <f t="shared" si="18"/>
        <v>-0.53448457344018707</v>
      </c>
      <c r="F262" s="694">
        <f t="shared" si="19"/>
        <v>-0.4361715024773013</v>
      </c>
      <c r="G262" s="639">
        <v>30342</v>
      </c>
      <c r="H262" s="640">
        <v>31233.253000000012</v>
      </c>
      <c r="I262" s="502">
        <f t="shared" si="20"/>
        <v>2.9373574583086537E-2</v>
      </c>
      <c r="J262" s="692">
        <f t="shared" si="21"/>
        <v>-0.45868523433082509</v>
      </c>
    </row>
    <row r="263" spans="1:10" ht="15.75" thickTop="1"/>
  </sheetData>
  <pageMargins left="0.75" right="0.75" top="1" bottom="1" header="0.5" footer="0.5"/>
  <pageSetup orientation="portrait" r:id="rId1"/>
  <ignoredErrors>
    <ignoredError sqref="I8 I31" formulaRange="1"/>
  </ignoredError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1"/>
  <sheetViews>
    <sheetView showGridLines="0" workbookViewId="0">
      <pane xSplit="1" ySplit="2" topLeftCell="C3" activePane="bottomRight" state="frozen"/>
      <selection pane="topRight" activeCell="B1" sqref="B1"/>
      <selection pane="bottomLeft" activeCell="A3" sqref="A3"/>
      <selection pane="bottomRight" activeCell="D4" sqref="D4"/>
    </sheetView>
  </sheetViews>
  <sheetFormatPr baseColWidth="10" defaultColWidth="11.42578125" defaultRowHeight="15"/>
  <cols>
    <col min="1" max="1" width="54" style="86" customWidth="1"/>
    <col min="2" max="2" width="17.140625" style="86" customWidth="1"/>
    <col min="3" max="4" width="17.140625" style="113" customWidth="1"/>
    <col min="5" max="5" width="12.7109375" style="113" customWidth="1"/>
    <col min="6" max="10" width="16.7109375" style="113" customWidth="1"/>
    <col min="11" max="16384" width="11.42578125" style="16"/>
  </cols>
  <sheetData>
    <row r="1" spans="1:11" s="64" customFormat="1" ht="15.75" thickBot="1">
      <c r="A1" s="365" t="s">
        <v>109</v>
      </c>
      <c r="B1" s="87"/>
      <c r="C1" s="113"/>
      <c r="D1" s="113"/>
      <c r="E1" s="113"/>
      <c r="F1" s="113"/>
      <c r="G1" s="113"/>
      <c r="H1" s="113"/>
      <c r="I1" s="113"/>
      <c r="J1" s="113"/>
    </row>
    <row r="2" spans="1:11" s="64" customFormat="1" ht="15.75" thickTop="1">
      <c r="A2" s="152" t="s">
        <v>499</v>
      </c>
      <c r="B2" s="153">
        <v>2006</v>
      </c>
      <c r="C2" s="153">
        <v>2007</v>
      </c>
      <c r="D2" s="153">
        <v>2008</v>
      </c>
      <c r="E2" s="153">
        <v>2009</v>
      </c>
      <c r="F2" s="153">
        <v>2010</v>
      </c>
      <c r="G2" s="153">
        <v>2011</v>
      </c>
      <c r="H2" s="580">
        <v>2012</v>
      </c>
      <c r="I2" s="580">
        <v>2013</v>
      </c>
      <c r="J2" s="580">
        <v>2014</v>
      </c>
      <c r="K2" s="154" t="s">
        <v>372</v>
      </c>
    </row>
    <row r="3" spans="1:11" s="64" customFormat="1">
      <c r="A3" s="128"/>
      <c r="B3" s="302"/>
      <c r="C3" s="112"/>
      <c r="D3" s="112"/>
      <c r="E3" s="112"/>
      <c r="F3" s="112"/>
      <c r="G3" s="112"/>
      <c r="H3" s="581"/>
      <c r="I3" s="581"/>
      <c r="J3" s="581"/>
      <c r="K3" s="155"/>
    </row>
    <row r="4" spans="1:11" s="64" customFormat="1">
      <c r="A4" s="300" t="s">
        <v>472</v>
      </c>
      <c r="B4" s="84">
        <v>58730.485000000001</v>
      </c>
      <c r="C4" s="84">
        <v>68245.282000000007</v>
      </c>
      <c r="D4" s="84">
        <v>76021.293999999994</v>
      </c>
      <c r="E4" s="84">
        <v>79887.293999999994</v>
      </c>
      <c r="F4" s="84">
        <v>85757.510999999999</v>
      </c>
      <c r="G4" s="84">
        <v>91145.91</v>
      </c>
      <c r="H4" s="582">
        <v>92529.489000000001</v>
      </c>
      <c r="I4" s="582">
        <v>99703.27</v>
      </c>
      <c r="J4" s="582">
        <v>99918.35</v>
      </c>
      <c r="K4" s="155"/>
    </row>
    <row r="5" spans="1:11" s="64" customFormat="1">
      <c r="A5" s="128"/>
      <c r="B5" s="62"/>
      <c r="C5" s="114">
        <f t="shared" ref="C5:H5" si="0">+((C4/B4)-1)</f>
        <v>0.16200780565663653</v>
      </c>
      <c r="D5" s="114">
        <f t="shared" si="0"/>
        <v>0.11394211837237322</v>
      </c>
      <c r="E5" s="114">
        <f t="shared" si="0"/>
        <v>5.0854172516453078E-2</v>
      </c>
      <c r="F5" s="114">
        <f t="shared" si="0"/>
        <v>7.3481234700476961E-2</v>
      </c>
      <c r="G5" s="114">
        <f t="shared" si="0"/>
        <v>6.2832968648075749E-2</v>
      </c>
      <c r="H5" s="114">
        <f t="shared" si="0"/>
        <v>1.517982540302687E-2</v>
      </c>
      <c r="I5" s="704">
        <f>+((I4/H4)-1)</f>
        <v>7.7529672729522936E-2</v>
      </c>
      <c r="J5" s="710">
        <f>+((J4/I4)-1)</f>
        <v>2.157201062713332E-3</v>
      </c>
      <c r="K5" s="156">
        <f>+AVERAGE(F5:J5)</f>
        <v>4.6236180508763172E-2</v>
      </c>
    </row>
    <row r="6" spans="1:11" s="64" customFormat="1" ht="25.5">
      <c r="A6" s="301" t="s">
        <v>473</v>
      </c>
      <c r="B6" s="83">
        <v>27026.82</v>
      </c>
      <c r="C6" s="83">
        <v>31460.511999999999</v>
      </c>
      <c r="D6" s="83">
        <v>28912.302</v>
      </c>
      <c r="E6" s="83">
        <v>28175.117999999999</v>
      </c>
      <c r="F6" s="83">
        <v>29245</v>
      </c>
      <c r="G6" s="83">
        <v>34776.125999999997</v>
      </c>
      <c r="H6" s="583">
        <v>32993.588000000003</v>
      </c>
      <c r="I6" s="583">
        <v>35549.03</v>
      </c>
      <c r="J6" s="583">
        <v>37860.730000000003</v>
      </c>
      <c r="K6" s="156"/>
    </row>
    <row r="7" spans="1:11" s="64" customFormat="1">
      <c r="A7" s="157"/>
      <c r="C7" s="115">
        <f t="shared" ref="C7:H7" si="1">+((C6/B6)-1)</f>
        <v>0.16404786060661225</v>
      </c>
      <c r="D7" s="115">
        <f t="shared" si="1"/>
        <v>-8.0997092482156696E-2</v>
      </c>
      <c r="E7" s="115">
        <f t="shared" si="1"/>
        <v>-2.5497243353365673E-2</v>
      </c>
      <c r="F7" s="115">
        <f t="shared" si="1"/>
        <v>3.7972582759014495E-2</v>
      </c>
      <c r="G7" s="115">
        <f t="shared" si="1"/>
        <v>0.18913065481278846</v>
      </c>
      <c r="H7" s="115">
        <f t="shared" si="1"/>
        <v>-5.1257520748573149E-2</v>
      </c>
      <c r="I7" s="705">
        <f>+((I6/H6)-1)</f>
        <v>7.7452685655164055E-2</v>
      </c>
      <c r="J7" s="705">
        <f>+((J6/I6)-1)</f>
        <v>6.5028497261388152E-2</v>
      </c>
      <c r="K7" s="156">
        <f>+AVERAGE(F7:J7)</f>
        <v>6.3665379947956402E-2</v>
      </c>
    </row>
    <row r="8" spans="1:11" s="64" customFormat="1">
      <c r="A8" s="300" t="s">
        <v>474</v>
      </c>
      <c r="B8" s="84">
        <v>31703.665000000001</v>
      </c>
      <c r="C8" s="84">
        <v>36784.769999999997</v>
      </c>
      <c r="D8" s="84">
        <v>47108.991999999998</v>
      </c>
      <c r="E8" s="84">
        <v>51712.175999999999</v>
      </c>
      <c r="F8" s="84">
        <v>56512.510999999999</v>
      </c>
      <c r="G8" s="84">
        <v>56369.784</v>
      </c>
      <c r="H8" s="582">
        <v>59535.900999999998</v>
      </c>
      <c r="I8" s="582">
        <f>+I4-I6</f>
        <v>64154.240000000005</v>
      </c>
      <c r="J8" s="582">
        <f>+J4-J6</f>
        <v>62057.62</v>
      </c>
      <c r="K8" s="156"/>
    </row>
    <row r="9" spans="1:11" s="64" customFormat="1">
      <c r="A9" s="128"/>
      <c r="C9" s="114">
        <f t="shared" ref="C9:H9" si="2">+((C8/B8)-1)</f>
        <v>0.16026869448689918</v>
      </c>
      <c r="D9" s="114">
        <f t="shared" si="2"/>
        <v>0.28066566679633986</v>
      </c>
      <c r="E9" s="114">
        <f t="shared" si="2"/>
        <v>9.7713489603004078E-2</v>
      </c>
      <c r="F9" s="114">
        <f t="shared" si="2"/>
        <v>9.2827944428407028E-2</v>
      </c>
      <c r="G9" s="321">
        <f t="shared" si="2"/>
        <v>-2.5255823440583081E-3</v>
      </c>
      <c r="H9" s="321">
        <f t="shared" si="2"/>
        <v>5.6166917368354552E-2</v>
      </c>
      <c r="I9" s="706">
        <f>+((I8/H8)-1)</f>
        <v>7.7572337403611469E-2</v>
      </c>
      <c r="J9" s="706">
        <f>+((J8/I8)-1)</f>
        <v>-3.26809264672141E-2</v>
      </c>
      <c r="K9" s="156">
        <f>+AVERAGE(F9:J9)</f>
        <v>3.8272138077820129E-2</v>
      </c>
    </row>
    <row r="10" spans="1:11" s="64" customFormat="1" ht="25.5">
      <c r="A10" s="301" t="s">
        <v>475</v>
      </c>
      <c r="B10" s="83">
        <v>10330.721</v>
      </c>
      <c r="C10" s="83">
        <v>10408.217000000001</v>
      </c>
      <c r="D10" s="83">
        <v>13441.855</v>
      </c>
      <c r="E10" s="83">
        <v>18913.288</v>
      </c>
      <c r="F10" s="83">
        <v>20348.79</v>
      </c>
      <c r="G10" s="83">
        <v>23078.008999999998</v>
      </c>
      <c r="H10" s="583">
        <v>22206.806</v>
      </c>
      <c r="I10" s="583">
        <v>29757.37</v>
      </c>
      <c r="J10" s="583">
        <v>30200.880000000001</v>
      </c>
      <c r="K10" s="156"/>
    </row>
    <row r="11" spans="1:11" s="64" customFormat="1">
      <c r="A11" s="157"/>
      <c r="C11" s="115">
        <f t="shared" ref="C11:H11" si="3">+((C10/B10)-1)</f>
        <v>7.5015093331822769E-3</v>
      </c>
      <c r="D11" s="115">
        <f t="shared" si="3"/>
        <v>0.2914656756291687</v>
      </c>
      <c r="E11" s="115">
        <f t="shared" si="3"/>
        <v>0.4070444890232785</v>
      </c>
      <c r="F11" s="115">
        <f t="shared" si="3"/>
        <v>7.5899124467411427E-2</v>
      </c>
      <c r="G11" s="115">
        <f t="shared" si="3"/>
        <v>0.13412193059145028</v>
      </c>
      <c r="H11" s="115">
        <f t="shared" si="3"/>
        <v>-3.7750353594194319E-2</v>
      </c>
      <c r="I11" s="705">
        <f>+((I10/H10)-1)</f>
        <v>0.3400112560086308</v>
      </c>
      <c r="J11" s="705">
        <f>+((J10/I10)-1)</f>
        <v>1.4904206924200691E-2</v>
      </c>
      <c r="K11" s="156">
        <f>+AVERAGE(F11:J11)</f>
        <v>0.10543723287949977</v>
      </c>
    </row>
    <row r="12" spans="1:11" s="64" customFormat="1">
      <c r="A12" s="301" t="s">
        <v>476</v>
      </c>
      <c r="B12" s="83">
        <v>10730.967000000001</v>
      </c>
      <c r="C12" s="83">
        <v>11636.29</v>
      </c>
      <c r="D12" s="83">
        <v>12962.379000000001</v>
      </c>
      <c r="E12" s="83">
        <v>12533.063</v>
      </c>
      <c r="F12" s="83">
        <v>12488.513000000001</v>
      </c>
      <c r="G12" s="83">
        <v>13763.71</v>
      </c>
      <c r="H12" s="583">
        <v>15239.585999999999</v>
      </c>
      <c r="I12" s="583">
        <v>16256.97</v>
      </c>
      <c r="J12" s="583">
        <v>18952.78</v>
      </c>
      <c r="K12" s="156"/>
    </row>
    <row r="13" spans="1:11" s="64" customFormat="1">
      <c r="A13" s="157"/>
      <c r="C13" s="115">
        <f t="shared" ref="C13:H13" si="4">+((C12/B12)-1)</f>
        <v>8.4365463056591317E-2</v>
      </c>
      <c r="D13" s="115">
        <f t="shared" si="4"/>
        <v>0.11396149460008309</v>
      </c>
      <c r="E13" s="115">
        <f t="shared" si="4"/>
        <v>-3.3120154872805396E-2</v>
      </c>
      <c r="F13" s="115">
        <f t="shared" si="4"/>
        <v>-3.5545979462482391E-3</v>
      </c>
      <c r="G13" s="115">
        <f t="shared" si="4"/>
        <v>0.10210959463308389</v>
      </c>
      <c r="H13" s="115">
        <f t="shared" si="4"/>
        <v>0.10722951878526943</v>
      </c>
      <c r="I13" s="705">
        <f>+((I12/H12)-1)</f>
        <v>6.6759293854833146E-2</v>
      </c>
      <c r="J13" s="705">
        <f>+((J12/I12)-1)</f>
        <v>0.16582487388486289</v>
      </c>
      <c r="K13" s="156">
        <f>+AVERAGE(F13:J13)</f>
        <v>8.7673736642360223E-2</v>
      </c>
    </row>
    <row r="14" spans="1:11" s="64" customFormat="1">
      <c r="A14" s="300" t="s">
        <v>477</v>
      </c>
      <c r="B14" s="84">
        <v>10641.977000000001</v>
      </c>
      <c r="C14" s="84">
        <v>14740.263000000001</v>
      </c>
      <c r="D14" s="84">
        <v>20704.758000000002</v>
      </c>
      <c r="E14" s="84">
        <v>20265.825000000001</v>
      </c>
      <c r="F14" s="84">
        <v>23675.207999999999</v>
      </c>
      <c r="G14" s="84">
        <v>19528.064999999999</v>
      </c>
      <c r="H14" s="582">
        <v>22089.508999999998</v>
      </c>
      <c r="I14" s="582">
        <f>+I8-I10-I12</f>
        <v>18139.900000000009</v>
      </c>
      <c r="J14" s="582">
        <f>+J8-J10-J12</f>
        <v>12903.960000000003</v>
      </c>
      <c r="K14" s="156"/>
    </row>
    <row r="15" spans="1:11" s="64" customFormat="1">
      <c r="A15" s="128"/>
      <c r="C15" s="114">
        <f t="shared" ref="C15:H15" si="5">+((C14/B14)-1)</f>
        <v>0.38510569981498732</v>
      </c>
      <c r="D15" s="114">
        <f t="shared" si="5"/>
        <v>0.40463965941448943</v>
      </c>
      <c r="E15" s="114">
        <f t="shared" si="5"/>
        <v>-2.1199619913451873E-2</v>
      </c>
      <c r="F15" s="114">
        <f t="shared" si="5"/>
        <v>0.16823312152354997</v>
      </c>
      <c r="G15" s="114">
        <f t="shared" si="5"/>
        <v>-0.17516817592479017</v>
      </c>
      <c r="H15" s="114">
        <f t="shared" si="5"/>
        <v>0.13116732251761754</v>
      </c>
      <c r="I15" s="704">
        <f>+((I14/H14)-1)</f>
        <v>-0.17880021688123493</v>
      </c>
      <c r="J15" s="704">
        <f>+((J14/I14)-1)</f>
        <v>-0.28864216451027869</v>
      </c>
      <c r="K15" s="156">
        <f>+AVERAGE(F15:J15)</f>
        <v>-6.8642022655027252E-2</v>
      </c>
    </row>
    <row r="16" spans="1:11" s="64" customFormat="1">
      <c r="A16" s="301"/>
      <c r="B16" s="83"/>
      <c r="C16" s="83"/>
      <c r="D16" s="83"/>
      <c r="E16" s="83"/>
      <c r="F16" s="83"/>
      <c r="G16" s="83"/>
      <c r="H16" s="583"/>
      <c r="I16" s="583"/>
      <c r="J16" s="583"/>
      <c r="K16" s="156"/>
    </row>
    <row r="17" spans="1:11" s="64" customFormat="1">
      <c r="A17" s="157" t="s">
        <v>478</v>
      </c>
      <c r="B17" s="83">
        <v>11216.763000000001</v>
      </c>
      <c r="C17" s="83">
        <v>15307.147999999999</v>
      </c>
      <c r="D17" s="83">
        <v>28760.128000000001</v>
      </c>
      <c r="E17" s="83">
        <v>23005.704000000002</v>
      </c>
      <c r="F17" s="83">
        <v>12255.781000000001</v>
      </c>
      <c r="G17" s="83">
        <v>19736.356</v>
      </c>
      <c r="H17" s="583">
        <v>17457.718000000001</v>
      </c>
      <c r="I17" s="583">
        <v>11521.62</v>
      </c>
      <c r="J17" s="583">
        <v>28394.92</v>
      </c>
      <c r="K17" s="158"/>
    </row>
    <row r="18" spans="1:11" s="64" customFormat="1">
      <c r="A18" s="301"/>
      <c r="C18" s="303">
        <f t="shared" ref="C18:H18" si="6">+((C17/B17)-1)</f>
        <v>0.36466715040693987</v>
      </c>
      <c r="D18" s="303">
        <f t="shared" si="6"/>
        <v>0.87886914009062966</v>
      </c>
      <c r="E18" s="303">
        <f t="shared" si="6"/>
        <v>-0.20008339323107316</v>
      </c>
      <c r="F18" s="303">
        <f t="shared" si="6"/>
        <v>-0.4672720730476233</v>
      </c>
      <c r="G18" s="303">
        <f t="shared" si="6"/>
        <v>0.61037113832239642</v>
      </c>
      <c r="H18" s="303">
        <f t="shared" si="6"/>
        <v>-0.11545383555100031</v>
      </c>
      <c r="I18" s="707">
        <f>+((I17/H17)-1)</f>
        <v>-0.34002714444121507</v>
      </c>
      <c r="J18" s="707">
        <f>+((J17/I17)-1)</f>
        <v>1.4644902366160313</v>
      </c>
      <c r="K18" s="156">
        <f>+AVERAGE(F18:J18)</f>
        <v>0.23042166437971781</v>
      </c>
    </row>
    <row r="19" spans="1:11" s="64" customFormat="1">
      <c r="A19" s="157" t="s">
        <v>479</v>
      </c>
      <c r="B19" s="83">
        <v>6078.5079999999998</v>
      </c>
      <c r="C19" s="83">
        <v>10019.89</v>
      </c>
      <c r="D19" s="83">
        <v>15119.264999999999</v>
      </c>
      <c r="E19" s="83">
        <v>20300.142</v>
      </c>
      <c r="F19" s="83">
        <v>8266.6290000000008</v>
      </c>
      <c r="G19" s="83">
        <v>10807.315000000001</v>
      </c>
      <c r="H19" s="583">
        <v>15530.805</v>
      </c>
      <c r="I19" s="583">
        <v>6474.93</v>
      </c>
      <c r="J19" s="583">
        <v>16943.89</v>
      </c>
      <c r="K19" s="156"/>
    </row>
    <row r="20" spans="1:11" s="64" customFormat="1">
      <c r="A20" s="300" t="s">
        <v>1402</v>
      </c>
      <c r="B20" s="83">
        <v>3.6</v>
      </c>
      <c r="C20" s="83"/>
      <c r="D20" s="83">
        <v>1.4770000000000001</v>
      </c>
      <c r="E20" s="83">
        <v>3.7349999999999999</v>
      </c>
      <c r="F20" s="83">
        <v>0</v>
      </c>
      <c r="G20" s="83">
        <v>0</v>
      </c>
      <c r="H20" s="583">
        <v>25</v>
      </c>
      <c r="I20" s="583">
        <v>3</v>
      </c>
      <c r="J20" s="583">
        <v>2</v>
      </c>
      <c r="K20" s="156"/>
    </row>
    <row r="21" spans="1:11" s="64" customFormat="1">
      <c r="A21" s="128"/>
      <c r="B21" s="114"/>
      <c r="C21" s="304">
        <f t="shared" ref="C21:J21" si="7">+((C19/B19)-1)</f>
        <v>0.6484127354936442</v>
      </c>
      <c r="D21" s="304">
        <f t="shared" si="7"/>
        <v>0.5089252476823598</v>
      </c>
      <c r="E21" s="304">
        <f t="shared" si="7"/>
        <v>0.34266725267398912</v>
      </c>
      <c r="F21" s="304">
        <f t="shared" si="7"/>
        <v>-0.59277974508749742</v>
      </c>
      <c r="G21" s="304">
        <f t="shared" si="7"/>
        <v>0.30734244877809314</v>
      </c>
      <c r="H21" s="304">
        <f t="shared" si="7"/>
        <v>0.43706415515787223</v>
      </c>
      <c r="I21" s="708">
        <f t="shared" si="7"/>
        <v>-0.58309115335618467</v>
      </c>
      <c r="J21" s="708">
        <f t="shared" si="7"/>
        <v>1.6168452786362169</v>
      </c>
      <c r="K21" s="156">
        <f>+AVERAGE(F21:J21)</f>
        <v>0.23707619682570003</v>
      </c>
    </row>
    <row r="22" spans="1:11" s="64" customFormat="1">
      <c r="A22" s="300" t="s">
        <v>480</v>
      </c>
      <c r="B22" s="582">
        <f>+B14+B17-B19</f>
        <v>15780.232000000002</v>
      </c>
      <c r="C22" s="582">
        <f>+C14+C17-C19</f>
        <v>20027.521000000001</v>
      </c>
      <c r="D22" s="582">
        <f>+D14+D17-D19</f>
        <v>34345.620999999999</v>
      </c>
      <c r="E22" s="84">
        <v>22971.386999999999</v>
      </c>
      <c r="F22" s="582">
        <f>+F14+F17-F19</f>
        <v>27664.36</v>
      </c>
      <c r="G22" s="582">
        <f>+G14+G17-G19</f>
        <v>28457.106</v>
      </c>
      <c r="H22" s="582">
        <f>+H14+H17-H19</f>
        <v>24016.421999999999</v>
      </c>
      <c r="I22" s="582">
        <f>+I14+I17-I19</f>
        <v>23186.590000000011</v>
      </c>
      <c r="J22" s="582">
        <f>+J14+J17-J19</f>
        <v>24354.990000000005</v>
      </c>
      <c r="K22" s="156"/>
    </row>
    <row r="23" spans="1:11" s="64" customFormat="1">
      <c r="A23" s="301"/>
      <c r="C23" s="303">
        <f t="shared" ref="C23:I23" si="8">+((C22/B22)-1)</f>
        <v>0.26915250675655455</v>
      </c>
      <c r="D23" s="303">
        <f t="shared" si="8"/>
        <v>0.7149212326378287</v>
      </c>
      <c r="E23" s="303">
        <f t="shared" si="8"/>
        <v>-0.33116984549500506</v>
      </c>
      <c r="F23" s="303">
        <f t="shared" si="8"/>
        <v>0.20429645802406271</v>
      </c>
      <c r="G23" s="303">
        <f t="shared" si="8"/>
        <v>2.8655859018607233E-2</v>
      </c>
      <c r="H23" s="303">
        <f t="shared" si="8"/>
        <v>-0.15604833464091539</v>
      </c>
      <c r="I23" s="707">
        <f t="shared" si="8"/>
        <v>-3.4552690654752305E-2</v>
      </c>
      <c r="J23" s="707">
        <f>+((J22/I22)-1)</f>
        <v>5.0391195945587164E-2</v>
      </c>
      <c r="K23" s="156">
        <f>+AVERAGE(F23:J23)</f>
        <v>1.8548497538517884E-2</v>
      </c>
    </row>
    <row r="24" spans="1:11" s="64" customFormat="1">
      <c r="A24" s="157" t="s">
        <v>481</v>
      </c>
      <c r="B24" s="83">
        <v>-1894.2840000000001</v>
      </c>
      <c r="C24" s="83">
        <v>0</v>
      </c>
      <c r="D24" s="83">
        <v>0</v>
      </c>
      <c r="E24" s="83">
        <v>0</v>
      </c>
      <c r="F24" s="83">
        <v>0</v>
      </c>
      <c r="G24" s="83">
        <v>0</v>
      </c>
      <c r="H24" s="583">
        <v>0</v>
      </c>
      <c r="I24" s="583">
        <v>0</v>
      </c>
      <c r="J24" s="583">
        <v>0</v>
      </c>
      <c r="K24" s="156"/>
    </row>
    <row r="25" spans="1:11" s="64" customFormat="1">
      <c r="A25" s="301" t="s">
        <v>482</v>
      </c>
      <c r="B25" s="83">
        <v>4554.8159999999998</v>
      </c>
      <c r="C25" s="83">
        <v>7721.2330000000002</v>
      </c>
      <c r="D25" s="83">
        <v>11405.083000000001</v>
      </c>
      <c r="E25" s="83">
        <v>8982.3680000000004</v>
      </c>
      <c r="F25" s="83">
        <v>9483.6110000000008</v>
      </c>
      <c r="G25" s="83">
        <v>10511.474</v>
      </c>
      <c r="H25" s="583">
        <v>8978.643</v>
      </c>
      <c r="I25" s="583">
        <v>9345.31</v>
      </c>
      <c r="J25" s="583">
        <v>9339.66</v>
      </c>
      <c r="K25" s="156"/>
    </row>
    <row r="26" spans="1:11" s="64" customFormat="1" ht="15.75" thickBot="1">
      <c r="A26" s="159"/>
      <c r="B26" s="160"/>
      <c r="C26" s="160">
        <f t="shared" ref="C26:H26" si="9">+((C25/B25)-1)</f>
        <v>0.69518000288046777</v>
      </c>
      <c r="D26" s="160">
        <f t="shared" si="9"/>
        <v>0.47710644141939507</v>
      </c>
      <c r="E26" s="160">
        <f t="shared" si="9"/>
        <v>-0.21242414456782122</v>
      </c>
      <c r="F26" s="160">
        <f t="shared" si="9"/>
        <v>5.5802990926223428E-2</v>
      </c>
      <c r="G26" s="160">
        <f t="shared" si="9"/>
        <v>0.10838308319478718</v>
      </c>
      <c r="H26" s="160">
        <f t="shared" si="9"/>
        <v>-0.14582455324533938</v>
      </c>
      <c r="I26" s="709">
        <f>+((I25/H25)-1)</f>
        <v>4.0837685605719987E-2</v>
      </c>
      <c r="J26" s="709">
        <f>+((J25/I25)-1)</f>
        <v>-6.0458133545060466E-4</v>
      </c>
      <c r="K26" s="162">
        <f>+AVERAGE(F26:J26)</f>
        <v>1.171892502918812E-2</v>
      </c>
    </row>
    <row r="27" spans="1:11" s="64" customFormat="1" ht="15.75" thickTop="1">
      <c r="A27" s="300" t="s">
        <v>483</v>
      </c>
      <c r="B27" s="268">
        <v>9331.1319999999996</v>
      </c>
      <c r="C27" s="111">
        <v>12306.288</v>
      </c>
      <c r="D27" s="111">
        <v>22940.538</v>
      </c>
      <c r="E27" s="111">
        <v>13989.019</v>
      </c>
      <c r="F27" s="111">
        <v>18180.749</v>
      </c>
      <c r="G27" s="111">
        <v>17945.632000000001</v>
      </c>
      <c r="H27" s="584">
        <v>15037.779</v>
      </c>
      <c r="I27" s="584">
        <f>+I22-I24-I25</f>
        <v>13841.280000000012</v>
      </c>
      <c r="J27" s="584">
        <f>+J22-J24-J25</f>
        <v>15015.330000000005</v>
      </c>
      <c r="K27" s="156"/>
    </row>
    <row r="28" spans="1:11" s="64" customFormat="1" ht="15.75" thickBot="1">
      <c r="A28" s="159"/>
      <c r="B28" s="160"/>
      <c r="C28" s="160">
        <f t="shared" ref="C28:H28" si="10">+((C27/B27)-1)</f>
        <v>0.31884191542891061</v>
      </c>
      <c r="D28" s="160">
        <f t="shared" si="10"/>
        <v>0.86413140989386883</v>
      </c>
      <c r="E28" s="160">
        <f t="shared" si="10"/>
        <v>-0.39020527766175317</v>
      </c>
      <c r="F28" s="160">
        <f t="shared" si="10"/>
        <v>0.29964431387218782</v>
      </c>
      <c r="G28" s="160">
        <f t="shared" si="10"/>
        <v>-1.2932195477754926E-2</v>
      </c>
      <c r="H28" s="160">
        <f t="shared" si="10"/>
        <v>-0.16203681207772458</v>
      </c>
      <c r="I28" s="709">
        <f>+((I27/H27)-1)</f>
        <v>-7.9566204557201536E-2</v>
      </c>
      <c r="J28" s="709">
        <f>+((J27/I27)-1)</f>
        <v>8.4822357469828802E-2</v>
      </c>
      <c r="K28" s="162">
        <f>+AVERAGE(F28:J28)</f>
        <v>2.5986291845867114E-2</v>
      </c>
    </row>
    <row r="29" spans="1:11" ht="26.25" thickTop="1">
      <c r="A29" s="85" t="s">
        <v>422</v>
      </c>
      <c r="B29" s="267"/>
    </row>
    <row r="31" spans="1:11">
      <c r="C31" s="117"/>
    </row>
  </sheetData>
  <pageMargins left="0.75" right="0.75" top="1" bottom="1" header="0.5" footer="0.5"/>
  <pageSetup orientation="portrait" horizontalDpi="360" verticalDpi="360" r:id="rId1"/>
  <ignoredErrors>
    <ignoredError sqref="I8:I15 J8 J14:J19 I27 J22:J28" formula="1"/>
  </ignoredError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3"/>
  <sheetViews>
    <sheetView zoomScale="108" zoomScaleNormal="108" workbookViewId="0">
      <pane xSplit="1" ySplit="2" topLeftCell="B48" activePane="bottomRight" state="frozen"/>
      <selection pane="topRight" activeCell="B1" sqref="B1"/>
      <selection pane="bottomLeft" activeCell="A3" sqref="A3"/>
      <selection pane="bottomRight" activeCell="B3" sqref="B3"/>
    </sheetView>
  </sheetViews>
  <sheetFormatPr baseColWidth="10" defaultRowHeight="15"/>
  <cols>
    <col min="1" max="1" width="45" customWidth="1"/>
    <col min="2" max="2" width="11.42578125" style="64" customWidth="1"/>
    <col min="3" max="5" width="11.42578125" customWidth="1"/>
    <col min="8" max="9" width="11.42578125" style="488"/>
    <col min="10" max="10" width="11.42578125" style="64"/>
  </cols>
  <sheetData>
    <row r="1" spans="1:12" ht="15.75" thickBot="1">
      <c r="A1" s="366" t="s">
        <v>109</v>
      </c>
      <c r="B1" s="80"/>
      <c r="C1" s="81"/>
      <c r="D1" s="81"/>
      <c r="E1" s="81"/>
      <c r="F1" s="81"/>
      <c r="G1" s="81"/>
      <c r="H1" s="720"/>
      <c r="I1" s="720"/>
      <c r="J1" s="81"/>
    </row>
    <row r="2" spans="1:12" ht="16.5" thickTop="1" thickBot="1">
      <c r="A2" s="163"/>
      <c r="B2" s="164">
        <v>2006</v>
      </c>
      <c r="C2" s="164">
        <v>2007</v>
      </c>
      <c r="D2" s="164">
        <v>2008</v>
      </c>
      <c r="E2" s="164">
        <v>2009</v>
      </c>
      <c r="F2" s="164">
        <v>2010</v>
      </c>
      <c r="G2" s="165">
        <v>2011</v>
      </c>
      <c r="H2" s="721">
        <v>2012</v>
      </c>
      <c r="I2" s="721">
        <v>2013</v>
      </c>
      <c r="J2" s="165">
        <v>2014</v>
      </c>
    </row>
    <row r="3" spans="1:12">
      <c r="A3" s="143" t="s">
        <v>218</v>
      </c>
      <c r="B3" s="82">
        <v>9331.1319999999996</v>
      </c>
      <c r="C3" s="82">
        <v>12306.288</v>
      </c>
      <c r="D3" s="82">
        <v>22940.538</v>
      </c>
      <c r="E3" s="82">
        <v>13989.019</v>
      </c>
      <c r="F3" s="82">
        <v>18180.749</v>
      </c>
      <c r="G3" s="144">
        <v>17945.632000000001</v>
      </c>
      <c r="H3" s="722">
        <v>15038</v>
      </c>
      <c r="I3" s="722">
        <v>13841</v>
      </c>
      <c r="J3" s="144">
        <v>15015.334999999999</v>
      </c>
      <c r="K3" s="715"/>
      <c r="L3" s="714"/>
    </row>
    <row r="4" spans="1:12">
      <c r="A4" s="145" t="s">
        <v>219</v>
      </c>
      <c r="B4" s="83">
        <v>0</v>
      </c>
      <c r="C4" s="83">
        <v>0</v>
      </c>
      <c r="D4" s="83">
        <v>0</v>
      </c>
      <c r="E4" s="83">
        <v>0</v>
      </c>
      <c r="F4" s="83">
        <v>0</v>
      </c>
      <c r="G4" s="146">
        <v>0</v>
      </c>
      <c r="H4" s="723">
        <v>0</v>
      </c>
      <c r="I4" s="723">
        <v>0</v>
      </c>
      <c r="J4" s="146">
        <v>0</v>
      </c>
      <c r="K4" s="715"/>
    </row>
    <row r="5" spans="1:12">
      <c r="A5" s="145" t="s">
        <v>220</v>
      </c>
      <c r="B5" s="83">
        <v>412.60399999999998</v>
      </c>
      <c r="C5" s="83">
        <v>427.52499999999998</v>
      </c>
      <c r="D5" s="83">
        <v>456.274</v>
      </c>
      <c r="E5" s="83">
        <v>439.75099999999998</v>
      </c>
      <c r="F5" s="83">
        <v>479.72699999999998</v>
      </c>
      <c r="G5" s="146">
        <v>381.26100000000002</v>
      </c>
      <c r="H5" s="723">
        <v>342</v>
      </c>
      <c r="I5" s="723">
        <v>281</v>
      </c>
      <c r="J5" s="146">
        <v>193.89</v>
      </c>
      <c r="K5" s="715"/>
    </row>
    <row r="6" spans="1:12">
      <c r="A6" s="145" t="s">
        <v>221</v>
      </c>
      <c r="B6" s="83">
        <v>0</v>
      </c>
      <c r="C6" s="83">
        <v>0</v>
      </c>
      <c r="D6" s="83">
        <v>0.221</v>
      </c>
      <c r="E6" s="83">
        <v>0</v>
      </c>
      <c r="F6" s="83">
        <v>0</v>
      </c>
      <c r="G6" s="146">
        <v>0</v>
      </c>
      <c r="H6" s="723">
        <v>21</v>
      </c>
      <c r="I6" s="723">
        <v>37</v>
      </c>
      <c r="J6" s="146">
        <v>114.69</v>
      </c>
      <c r="K6" s="715"/>
    </row>
    <row r="7" spans="1:12">
      <c r="A7" s="145" t="s">
        <v>222</v>
      </c>
      <c r="B7" s="83">
        <v>0</v>
      </c>
      <c r="C7" s="83">
        <v>0</v>
      </c>
      <c r="D7" s="83">
        <v>84.397000000000006</v>
      </c>
      <c r="E7" s="83">
        <v>0</v>
      </c>
      <c r="F7" s="83">
        <v>35.838000000000001</v>
      </c>
      <c r="G7" s="146">
        <v>35.996000000000002</v>
      </c>
      <c r="H7" s="723">
        <v>0</v>
      </c>
      <c r="I7" s="723">
        <v>103</v>
      </c>
      <c r="J7" s="146">
        <v>114.508</v>
      </c>
      <c r="K7" s="715"/>
    </row>
    <row r="8" spans="1:12" ht="25.5">
      <c r="A8" s="145" t="s">
        <v>223</v>
      </c>
      <c r="B8" s="83">
        <v>0</v>
      </c>
      <c r="C8" s="83">
        <v>0</v>
      </c>
      <c r="D8" s="83">
        <v>0</v>
      </c>
      <c r="E8" s="83">
        <v>0</v>
      </c>
      <c r="F8" s="83">
        <v>0</v>
      </c>
      <c r="G8" s="146">
        <v>0</v>
      </c>
      <c r="H8" s="723">
        <v>0</v>
      </c>
      <c r="I8" s="723">
        <v>2874</v>
      </c>
      <c r="J8" s="146">
        <v>1235.1289999999999</v>
      </c>
      <c r="K8" s="715"/>
    </row>
    <row r="9" spans="1:12">
      <c r="A9" s="145" t="s">
        <v>224</v>
      </c>
      <c r="B9" s="83">
        <v>0</v>
      </c>
      <c r="C9" s="83">
        <v>0</v>
      </c>
      <c r="D9" s="83">
        <v>0</v>
      </c>
      <c r="E9" s="83">
        <v>0</v>
      </c>
      <c r="F9" s="83">
        <v>0</v>
      </c>
      <c r="G9" s="146">
        <v>0</v>
      </c>
      <c r="H9" s="723">
        <v>0</v>
      </c>
      <c r="I9" s="723">
        <v>0</v>
      </c>
      <c r="J9" s="146">
        <v>0</v>
      </c>
      <c r="K9" s="715"/>
    </row>
    <row r="10" spans="1:12">
      <c r="A10" s="145" t="s">
        <v>225</v>
      </c>
      <c r="B10" s="83">
        <v>0</v>
      </c>
      <c r="C10" s="83">
        <v>0</v>
      </c>
      <c r="D10" s="83">
        <v>0</v>
      </c>
      <c r="E10" s="83">
        <v>0</v>
      </c>
      <c r="F10" s="83">
        <v>0</v>
      </c>
      <c r="G10" s="146">
        <v>0</v>
      </c>
      <c r="H10" s="723">
        <v>0</v>
      </c>
      <c r="I10" s="723">
        <v>0</v>
      </c>
      <c r="J10" s="146">
        <v>0</v>
      </c>
      <c r="K10" s="715"/>
    </row>
    <row r="11" spans="1:12" ht="25.5">
      <c r="A11" s="145" t="s">
        <v>226</v>
      </c>
      <c r="B11" s="83">
        <v>120.042</v>
      </c>
      <c r="C11" s="83">
        <v>0</v>
      </c>
      <c r="D11" s="83">
        <v>0</v>
      </c>
      <c r="E11" s="83">
        <v>0</v>
      </c>
      <c r="F11" s="83">
        <v>14.808</v>
      </c>
      <c r="G11" s="146">
        <v>11.755000000000001</v>
      </c>
      <c r="H11" s="723">
        <v>9</v>
      </c>
      <c r="I11" s="723">
        <v>0</v>
      </c>
      <c r="J11" s="146">
        <v>0</v>
      </c>
      <c r="K11" s="715"/>
    </row>
    <row r="12" spans="1:12">
      <c r="A12" s="145" t="s">
        <v>227</v>
      </c>
      <c r="B12" s="83">
        <v>0</v>
      </c>
      <c r="C12" s="83">
        <v>0</v>
      </c>
      <c r="D12" s="83">
        <v>0</v>
      </c>
      <c r="E12" s="83">
        <v>0</v>
      </c>
      <c r="F12" s="83">
        <v>0</v>
      </c>
      <c r="G12" s="146">
        <v>0</v>
      </c>
      <c r="H12" s="723">
        <v>0</v>
      </c>
      <c r="I12" s="723">
        <v>0</v>
      </c>
      <c r="J12" s="146">
        <v>0</v>
      </c>
      <c r="K12" s="715"/>
    </row>
    <row r="13" spans="1:12">
      <c r="A13" s="145" t="s">
        <v>228</v>
      </c>
      <c r="B13" s="83">
        <v>206.7</v>
      </c>
      <c r="C13" s="83">
        <v>1.9830000000000001</v>
      </c>
      <c r="D13" s="83">
        <v>12.455</v>
      </c>
      <c r="E13" s="83">
        <v>9.4710000000000001</v>
      </c>
      <c r="F13" s="83">
        <v>18.018000000000001</v>
      </c>
      <c r="G13" s="146">
        <v>7.944</v>
      </c>
      <c r="H13" s="723">
        <v>24</v>
      </c>
      <c r="I13" s="723">
        <v>9.9440000000000008</v>
      </c>
      <c r="J13" s="146">
        <v>80.823999999999998</v>
      </c>
      <c r="K13" s="715"/>
    </row>
    <row r="14" spans="1:12">
      <c r="A14" s="145" t="s">
        <v>229</v>
      </c>
      <c r="B14" s="83">
        <v>0</v>
      </c>
      <c r="C14" s="83">
        <v>0</v>
      </c>
      <c r="D14" s="83">
        <v>0</v>
      </c>
      <c r="E14" s="83">
        <v>0</v>
      </c>
      <c r="F14" s="83">
        <v>0</v>
      </c>
      <c r="G14" s="146">
        <v>0</v>
      </c>
      <c r="H14" s="723">
        <v>0</v>
      </c>
      <c r="I14" s="723">
        <v>0</v>
      </c>
      <c r="J14" s="146">
        <v>0</v>
      </c>
      <c r="K14" s="715"/>
    </row>
    <row r="15" spans="1:12">
      <c r="A15" s="145" t="s">
        <v>230</v>
      </c>
      <c r="B15" s="83">
        <v>0</v>
      </c>
      <c r="C15" s="83">
        <v>0</v>
      </c>
      <c r="D15" s="83">
        <v>0</v>
      </c>
      <c r="E15" s="83">
        <v>0</v>
      </c>
      <c r="F15" s="83">
        <v>0</v>
      </c>
      <c r="G15" s="146">
        <v>0</v>
      </c>
      <c r="H15" s="723">
        <v>0</v>
      </c>
      <c r="I15" s="723">
        <v>0</v>
      </c>
      <c r="J15" s="146">
        <v>0</v>
      </c>
      <c r="K15" s="715"/>
    </row>
    <row r="16" spans="1:12">
      <c r="A16" s="145" t="s">
        <v>231</v>
      </c>
      <c r="B16" s="83">
        <v>6.3140000000000001</v>
      </c>
      <c r="C16" s="83">
        <v>0</v>
      </c>
      <c r="D16" s="83">
        <v>0</v>
      </c>
      <c r="E16" s="83">
        <v>0</v>
      </c>
      <c r="F16" s="83">
        <v>0</v>
      </c>
      <c r="G16" s="146">
        <v>0</v>
      </c>
      <c r="H16" s="723">
        <v>0</v>
      </c>
      <c r="I16" s="723">
        <v>0</v>
      </c>
      <c r="J16" s="146">
        <v>0</v>
      </c>
      <c r="K16" s="715"/>
    </row>
    <row r="17" spans="1:11">
      <c r="A17" s="145" t="s">
        <v>232</v>
      </c>
      <c r="B17" s="83">
        <v>0</v>
      </c>
      <c r="C17" s="83">
        <v>0</v>
      </c>
      <c r="D17" s="83">
        <v>0</v>
      </c>
      <c r="E17" s="83">
        <v>0</v>
      </c>
      <c r="F17" s="83">
        <v>0</v>
      </c>
      <c r="G17" s="146">
        <v>0</v>
      </c>
      <c r="H17" s="723">
        <v>0</v>
      </c>
      <c r="I17" s="723">
        <v>0</v>
      </c>
      <c r="J17" s="146">
        <v>0</v>
      </c>
      <c r="K17" s="715"/>
    </row>
    <row r="18" spans="1:11">
      <c r="A18" s="145" t="s">
        <v>233</v>
      </c>
      <c r="B18" s="83">
        <v>588.75800000000004</v>
      </c>
      <c r="C18" s="83">
        <v>0</v>
      </c>
      <c r="D18" s="83">
        <v>0</v>
      </c>
      <c r="E18" s="83">
        <v>0</v>
      </c>
      <c r="F18" s="83">
        <v>0</v>
      </c>
      <c r="G18" s="146">
        <v>0</v>
      </c>
      <c r="H18" s="723">
        <v>0</v>
      </c>
      <c r="I18" s="723">
        <v>0</v>
      </c>
      <c r="J18" s="146">
        <v>0</v>
      </c>
      <c r="K18" s="715"/>
    </row>
    <row r="19" spans="1:11">
      <c r="A19" s="145" t="s">
        <v>234</v>
      </c>
      <c r="B19" s="83">
        <v>0</v>
      </c>
      <c r="C19" s="83">
        <v>0</v>
      </c>
      <c r="D19" s="83">
        <v>0</v>
      </c>
      <c r="E19" s="83">
        <v>0</v>
      </c>
      <c r="F19" s="83">
        <v>0</v>
      </c>
      <c r="G19" s="146">
        <v>0</v>
      </c>
      <c r="H19" s="723">
        <v>0</v>
      </c>
      <c r="I19" s="723">
        <v>0</v>
      </c>
      <c r="J19" s="146">
        <v>0</v>
      </c>
      <c r="K19" s="715"/>
    </row>
    <row r="20" spans="1:11">
      <c r="A20" s="145" t="s">
        <v>235</v>
      </c>
      <c r="B20" s="83">
        <v>35.311999999999998</v>
      </c>
      <c r="C20" s="83">
        <v>0</v>
      </c>
      <c r="D20" s="83">
        <v>0</v>
      </c>
      <c r="E20" s="83">
        <v>0</v>
      </c>
      <c r="F20" s="83">
        <v>0</v>
      </c>
      <c r="G20" s="146">
        <v>0</v>
      </c>
      <c r="H20" s="723">
        <v>0</v>
      </c>
      <c r="I20" s="723">
        <v>0</v>
      </c>
      <c r="J20" s="146">
        <v>0</v>
      </c>
      <c r="K20" s="715"/>
    </row>
    <row r="21" spans="1:11">
      <c r="A21" s="145" t="s">
        <v>236</v>
      </c>
      <c r="B21" s="83">
        <v>0</v>
      </c>
      <c r="C21" s="83">
        <v>0</v>
      </c>
      <c r="D21" s="83">
        <v>0</v>
      </c>
      <c r="E21" s="83">
        <v>0</v>
      </c>
      <c r="F21" s="83">
        <v>0</v>
      </c>
      <c r="G21" s="146">
        <v>0</v>
      </c>
      <c r="H21" s="723">
        <v>0</v>
      </c>
      <c r="I21" s="723">
        <v>0</v>
      </c>
      <c r="J21" s="146">
        <v>0</v>
      </c>
      <c r="K21" s="715"/>
    </row>
    <row r="22" spans="1:11">
      <c r="A22" s="145" t="s">
        <v>237</v>
      </c>
      <c r="B22" s="83">
        <v>0</v>
      </c>
      <c r="C22" s="83">
        <v>0</v>
      </c>
      <c r="D22" s="83">
        <v>0</v>
      </c>
      <c r="E22" s="83">
        <v>0</v>
      </c>
      <c r="F22" s="83">
        <v>0</v>
      </c>
      <c r="G22" s="146">
        <v>0</v>
      </c>
      <c r="H22" s="723">
        <v>0</v>
      </c>
      <c r="I22" s="723">
        <v>0</v>
      </c>
      <c r="J22" s="146">
        <v>0</v>
      </c>
      <c r="K22" s="715"/>
    </row>
    <row r="23" spans="1:11">
      <c r="A23" s="145" t="s">
        <v>238</v>
      </c>
      <c r="B23" s="83">
        <v>2172.569</v>
      </c>
      <c r="C23" s="83">
        <v>0</v>
      </c>
      <c r="D23" s="83">
        <v>0</v>
      </c>
      <c r="E23" s="83">
        <v>0</v>
      </c>
      <c r="F23" s="83">
        <v>0</v>
      </c>
      <c r="G23" s="146">
        <v>0</v>
      </c>
      <c r="H23" s="723">
        <v>0</v>
      </c>
      <c r="I23" s="723">
        <v>0</v>
      </c>
      <c r="J23" s="146">
        <v>0</v>
      </c>
      <c r="K23" s="715"/>
    </row>
    <row r="24" spans="1:11">
      <c r="A24" s="145" t="s">
        <v>239</v>
      </c>
      <c r="B24" s="83">
        <v>339.34399999999999</v>
      </c>
      <c r="C24" s="83">
        <v>0</v>
      </c>
      <c r="D24" s="83">
        <v>0</v>
      </c>
      <c r="E24" s="83">
        <v>0</v>
      </c>
      <c r="F24" s="83">
        <v>0</v>
      </c>
      <c r="G24" s="146">
        <v>0</v>
      </c>
      <c r="H24" s="723">
        <v>0</v>
      </c>
      <c r="I24" s="723">
        <v>0</v>
      </c>
      <c r="J24" s="146">
        <v>0</v>
      </c>
      <c r="K24" s="715"/>
    </row>
    <row r="25" spans="1:11">
      <c r="A25" s="145" t="s">
        <v>240</v>
      </c>
      <c r="B25" s="83">
        <v>0</v>
      </c>
      <c r="C25" s="83">
        <v>0</v>
      </c>
      <c r="D25" s="83">
        <v>0</v>
      </c>
      <c r="E25" s="83">
        <v>0</v>
      </c>
      <c r="F25" s="83">
        <v>0</v>
      </c>
      <c r="G25" s="146">
        <v>0</v>
      </c>
      <c r="H25" s="723">
        <v>0</v>
      </c>
      <c r="I25" s="723">
        <v>0</v>
      </c>
      <c r="J25" s="146">
        <v>0</v>
      </c>
      <c r="K25" s="715"/>
    </row>
    <row r="26" spans="1:11">
      <c r="A26" s="145" t="s">
        <v>241</v>
      </c>
      <c r="B26" s="83">
        <v>0</v>
      </c>
      <c r="C26" s="83">
        <v>0</v>
      </c>
      <c r="D26" s="83">
        <v>0</v>
      </c>
      <c r="E26" s="83">
        <v>0</v>
      </c>
      <c r="F26" s="83">
        <v>0</v>
      </c>
      <c r="G26" s="146">
        <v>0</v>
      </c>
      <c r="H26" s="723">
        <v>0</v>
      </c>
      <c r="I26" s="723">
        <v>0</v>
      </c>
      <c r="J26" s="146">
        <v>0</v>
      </c>
      <c r="K26" s="715"/>
    </row>
    <row r="27" spans="1:11">
      <c r="A27" s="145" t="s">
        <v>242</v>
      </c>
      <c r="B27" s="83">
        <v>12.755000000000001</v>
      </c>
      <c r="C27" s="83">
        <v>0</v>
      </c>
      <c r="D27" s="83">
        <v>0</v>
      </c>
      <c r="E27" s="83">
        <v>0</v>
      </c>
      <c r="F27" s="83">
        <v>0</v>
      </c>
      <c r="G27" s="146">
        <v>0</v>
      </c>
      <c r="H27" s="723">
        <v>0</v>
      </c>
      <c r="I27" s="723">
        <v>0</v>
      </c>
      <c r="J27" s="146">
        <v>0</v>
      </c>
      <c r="K27" s="715"/>
    </row>
    <row r="28" spans="1:11" ht="25.5">
      <c r="A28" s="145" t="s">
        <v>243</v>
      </c>
      <c r="B28" s="83">
        <v>4554.8159999999998</v>
      </c>
      <c r="C28" s="83">
        <v>7721.2330000000002</v>
      </c>
      <c r="D28" s="83">
        <v>11405.083000000001</v>
      </c>
      <c r="E28" s="83">
        <v>8982.3680000000004</v>
      </c>
      <c r="F28" s="83">
        <v>9483.6110000000008</v>
      </c>
      <c r="G28" s="146">
        <v>10511.474</v>
      </c>
      <c r="H28" s="723">
        <v>8979</v>
      </c>
      <c r="I28" s="723">
        <v>9345</v>
      </c>
      <c r="J28" s="146">
        <v>9339.6610000000001</v>
      </c>
      <c r="K28" s="715"/>
    </row>
    <row r="29" spans="1:11">
      <c r="A29" s="145" t="s">
        <v>244</v>
      </c>
      <c r="B29" s="83">
        <v>16279.494000000001</v>
      </c>
      <c r="C29" s="83">
        <v>20457.028999999999</v>
      </c>
      <c r="D29" s="83">
        <v>34898.968000000001</v>
      </c>
      <c r="E29" s="83">
        <v>23420.609</v>
      </c>
      <c r="F29" s="83">
        <v>28183.134999999998</v>
      </c>
      <c r="G29" s="146">
        <v>28870.552</v>
      </c>
      <c r="H29" s="723">
        <v>24395</v>
      </c>
      <c r="I29" s="723">
        <v>26491</v>
      </c>
      <c r="J29" s="146">
        <v>26094.037</v>
      </c>
      <c r="K29" s="715"/>
    </row>
    <row r="30" spans="1:11">
      <c r="A30" s="145" t="s">
        <v>245</v>
      </c>
      <c r="B30" s="83">
        <v>0</v>
      </c>
      <c r="C30" s="83">
        <v>0</v>
      </c>
      <c r="D30" s="83">
        <v>0</v>
      </c>
      <c r="E30" s="83">
        <v>0</v>
      </c>
      <c r="F30" s="83">
        <v>0</v>
      </c>
      <c r="G30" s="146">
        <v>0</v>
      </c>
      <c r="H30" s="723">
        <v>0</v>
      </c>
      <c r="I30" s="723">
        <v>0</v>
      </c>
      <c r="J30" s="146">
        <v>0</v>
      </c>
      <c r="K30" s="715"/>
    </row>
    <row r="31" spans="1:11">
      <c r="A31" s="145" t="s">
        <v>246</v>
      </c>
      <c r="B31" s="83">
        <v>0</v>
      </c>
      <c r="C31" s="83">
        <v>0</v>
      </c>
      <c r="D31" s="83">
        <v>0</v>
      </c>
      <c r="E31" s="83">
        <v>0</v>
      </c>
      <c r="F31" s="83">
        <v>0</v>
      </c>
      <c r="G31" s="146">
        <v>0</v>
      </c>
      <c r="H31" s="723">
        <v>0</v>
      </c>
      <c r="I31" s="723">
        <v>0</v>
      </c>
      <c r="J31" s="146">
        <v>0</v>
      </c>
      <c r="K31" s="715"/>
    </row>
    <row r="32" spans="1:11">
      <c r="A32" s="145" t="s">
        <v>247</v>
      </c>
      <c r="B32" s="83">
        <v>16279.494000000001</v>
      </c>
      <c r="C32" s="83">
        <v>20457.028999999999</v>
      </c>
      <c r="D32" s="83">
        <v>34898.968000000001</v>
      </c>
      <c r="E32" s="83">
        <v>23420.609</v>
      </c>
      <c r="F32" s="83">
        <v>28183.134999999998</v>
      </c>
      <c r="G32" s="146">
        <v>28870.552</v>
      </c>
      <c r="H32" s="723">
        <v>24395</v>
      </c>
      <c r="I32" s="723">
        <v>26491</v>
      </c>
      <c r="J32" s="146">
        <v>26094.037</v>
      </c>
      <c r="K32" s="715"/>
    </row>
    <row r="33" spans="1:11">
      <c r="A33" s="145" t="s">
        <v>248</v>
      </c>
      <c r="B33" s="83">
        <v>0</v>
      </c>
      <c r="C33" s="83">
        <v>0</v>
      </c>
      <c r="D33" s="83">
        <v>0</v>
      </c>
      <c r="E33" s="83">
        <v>0</v>
      </c>
      <c r="F33" s="83">
        <v>0</v>
      </c>
      <c r="G33" s="146">
        <v>0</v>
      </c>
      <c r="H33" s="723">
        <v>0</v>
      </c>
      <c r="I33" s="723">
        <v>0</v>
      </c>
      <c r="J33" s="146">
        <v>0</v>
      </c>
      <c r="K33" s="715"/>
    </row>
    <row r="34" spans="1:11">
      <c r="A34" s="145" t="s">
        <v>249</v>
      </c>
      <c r="B34" s="83">
        <v>0</v>
      </c>
      <c r="C34" s="83">
        <v>0</v>
      </c>
      <c r="D34" s="83">
        <v>0</v>
      </c>
      <c r="E34" s="83">
        <v>0</v>
      </c>
      <c r="F34" s="83">
        <v>0</v>
      </c>
      <c r="G34" s="146">
        <v>0</v>
      </c>
      <c r="H34" s="723">
        <v>51094</v>
      </c>
      <c r="I34" s="723">
        <v>0</v>
      </c>
      <c r="J34" s="146">
        <v>0</v>
      </c>
      <c r="K34" s="715"/>
    </row>
    <row r="35" spans="1:11">
      <c r="A35" s="145" t="s">
        <v>250</v>
      </c>
      <c r="B35" s="83">
        <v>0</v>
      </c>
      <c r="C35" s="83">
        <v>0</v>
      </c>
      <c r="D35" s="83">
        <v>0</v>
      </c>
      <c r="E35" s="83">
        <v>0</v>
      </c>
      <c r="F35" s="83">
        <v>0</v>
      </c>
      <c r="G35" s="146">
        <v>0</v>
      </c>
      <c r="H35" s="723">
        <v>0</v>
      </c>
      <c r="I35" s="723">
        <v>0</v>
      </c>
      <c r="J35" s="146">
        <v>0</v>
      </c>
      <c r="K35" s="715"/>
    </row>
    <row r="36" spans="1:11">
      <c r="A36" s="145" t="s">
        <v>251</v>
      </c>
      <c r="B36" s="83">
        <v>0</v>
      </c>
      <c r="C36" s="83">
        <v>0</v>
      </c>
      <c r="D36" s="83">
        <v>0</v>
      </c>
      <c r="E36" s="83">
        <v>0</v>
      </c>
      <c r="F36" s="83">
        <v>164.94399999999999</v>
      </c>
      <c r="G36" s="146">
        <v>0</v>
      </c>
      <c r="H36" s="723">
        <v>0</v>
      </c>
      <c r="I36" s="723">
        <v>0</v>
      </c>
      <c r="J36" s="146">
        <v>363.41300000000001</v>
      </c>
      <c r="K36" s="715"/>
    </row>
    <row r="37" spans="1:11">
      <c r="A37" s="145" t="s">
        <v>252</v>
      </c>
      <c r="B37" s="83">
        <v>361.85700000000003</v>
      </c>
      <c r="C37" s="83">
        <v>632.149</v>
      </c>
      <c r="D37" s="83">
        <v>0</v>
      </c>
      <c r="E37" s="83">
        <v>0</v>
      </c>
      <c r="F37" s="83">
        <v>0</v>
      </c>
      <c r="G37" s="146">
        <v>0</v>
      </c>
      <c r="H37" s="723">
        <v>842</v>
      </c>
      <c r="I37" s="723">
        <v>1940</v>
      </c>
      <c r="J37" s="146">
        <v>0</v>
      </c>
      <c r="K37" s="715"/>
    </row>
    <row r="38" spans="1:11">
      <c r="A38" s="145" t="s">
        <v>253</v>
      </c>
      <c r="B38" s="83">
        <v>1460.4459999999999</v>
      </c>
      <c r="C38" s="83">
        <v>181.816</v>
      </c>
      <c r="D38" s="83">
        <v>825.73500000000001</v>
      </c>
      <c r="E38" s="83">
        <v>727.10299999999995</v>
      </c>
      <c r="F38" s="83">
        <v>14255.332</v>
      </c>
      <c r="G38" s="146">
        <v>0</v>
      </c>
      <c r="H38" s="723">
        <v>0</v>
      </c>
      <c r="I38" s="723">
        <v>17582</v>
      </c>
      <c r="J38" s="146">
        <v>22755.554</v>
      </c>
      <c r="K38" s="715"/>
    </row>
    <row r="39" spans="1:11">
      <c r="A39" s="145" t="s">
        <v>254</v>
      </c>
      <c r="B39" s="83">
        <v>0</v>
      </c>
      <c r="C39" s="83">
        <v>0</v>
      </c>
      <c r="D39" s="83">
        <v>0</v>
      </c>
      <c r="E39" s="83">
        <v>0</v>
      </c>
      <c r="F39" s="83">
        <v>0</v>
      </c>
      <c r="G39" s="146">
        <v>286.57100000000003</v>
      </c>
      <c r="H39" s="723">
        <v>638</v>
      </c>
      <c r="I39" s="723">
        <v>0</v>
      </c>
      <c r="J39" s="146">
        <v>665.68799999999999</v>
      </c>
      <c r="K39" s="715"/>
    </row>
    <row r="40" spans="1:11">
      <c r="A40" s="145" t="s">
        <v>255</v>
      </c>
      <c r="B40" s="83">
        <v>481.209</v>
      </c>
      <c r="C40" s="83">
        <v>90.433999999999997</v>
      </c>
      <c r="D40" s="83">
        <v>303.09300000000002</v>
      </c>
      <c r="E40" s="83">
        <v>400.32400000000001</v>
      </c>
      <c r="F40" s="83">
        <v>143.44200000000001</v>
      </c>
      <c r="G40" s="146">
        <v>134.52199999999999</v>
      </c>
      <c r="H40" s="723">
        <v>157</v>
      </c>
      <c r="I40" s="723">
        <v>459</v>
      </c>
      <c r="J40" s="146">
        <v>311.77699999999999</v>
      </c>
      <c r="K40" s="715"/>
    </row>
    <row r="41" spans="1:11">
      <c r="A41" s="145" t="s">
        <v>256</v>
      </c>
      <c r="B41" s="83">
        <v>717.78899999999999</v>
      </c>
      <c r="C41" s="83">
        <v>863.86400000000003</v>
      </c>
      <c r="D41" s="83">
        <v>917.80899999999997</v>
      </c>
      <c r="E41" s="83">
        <v>981.00199999999995</v>
      </c>
      <c r="F41" s="83">
        <v>0</v>
      </c>
      <c r="G41" s="146">
        <v>1255.1759999999999</v>
      </c>
      <c r="H41" s="723">
        <v>0</v>
      </c>
      <c r="I41" s="723">
        <v>974</v>
      </c>
      <c r="J41" s="146">
        <v>0</v>
      </c>
      <c r="K41" s="715"/>
    </row>
    <row r="42" spans="1:11">
      <c r="A42" s="145" t="s">
        <v>257</v>
      </c>
      <c r="B42" s="83">
        <v>630.15599999999995</v>
      </c>
      <c r="C42" s="83">
        <v>260.91399999999999</v>
      </c>
      <c r="D42" s="83">
        <v>0</v>
      </c>
      <c r="E42" s="83">
        <v>407.863</v>
      </c>
      <c r="F42" s="83">
        <v>1160.559</v>
      </c>
      <c r="G42" s="146">
        <v>0</v>
      </c>
      <c r="H42" s="723">
        <v>0</v>
      </c>
      <c r="I42" s="723">
        <v>0</v>
      </c>
      <c r="J42" s="146">
        <v>32.424999999999997</v>
      </c>
      <c r="K42" s="715"/>
    </row>
    <row r="43" spans="1:11">
      <c r="A43" s="145" t="s">
        <v>258</v>
      </c>
      <c r="B43" s="83">
        <v>0</v>
      </c>
      <c r="C43" s="83">
        <v>0</v>
      </c>
      <c r="D43" s="83">
        <v>0</v>
      </c>
      <c r="E43" s="83">
        <v>0</v>
      </c>
      <c r="F43" s="83">
        <v>0</v>
      </c>
      <c r="G43" s="146">
        <v>0</v>
      </c>
      <c r="H43" s="723">
        <v>0</v>
      </c>
      <c r="I43" s="723">
        <v>0</v>
      </c>
      <c r="J43" s="146">
        <v>0</v>
      </c>
      <c r="K43" s="715"/>
    </row>
    <row r="44" spans="1:11">
      <c r="A44" s="145" t="s">
        <v>259</v>
      </c>
      <c r="B44" s="83">
        <v>24695.946</v>
      </c>
      <c r="C44" s="83">
        <v>1396.6659999999999</v>
      </c>
      <c r="D44" s="83">
        <v>22042.510999999999</v>
      </c>
      <c r="E44" s="83">
        <v>3972.3249999999998</v>
      </c>
      <c r="F44" s="83">
        <v>3484.6030000000001</v>
      </c>
      <c r="G44" s="146">
        <v>8405.625</v>
      </c>
      <c r="H44" s="723">
        <v>0</v>
      </c>
      <c r="I44" s="723">
        <v>11681</v>
      </c>
      <c r="J44" s="146">
        <v>28073.758000000002</v>
      </c>
      <c r="K44" s="715"/>
    </row>
    <row r="45" spans="1:11">
      <c r="A45" s="145" t="s">
        <v>260</v>
      </c>
      <c r="B45" s="83">
        <v>0</v>
      </c>
      <c r="C45" s="83">
        <v>0</v>
      </c>
      <c r="D45" s="83">
        <v>0</v>
      </c>
      <c r="E45" s="83">
        <v>0</v>
      </c>
      <c r="F45" s="83">
        <v>0</v>
      </c>
      <c r="G45" s="146">
        <v>0</v>
      </c>
      <c r="H45" s="723">
        <v>0</v>
      </c>
      <c r="I45" s="723">
        <v>0</v>
      </c>
      <c r="J45" s="146">
        <v>0</v>
      </c>
      <c r="K45" s="715"/>
    </row>
    <row r="46" spans="1:11">
      <c r="A46" s="145" t="s">
        <v>261</v>
      </c>
      <c r="B46" s="83">
        <v>1701.595</v>
      </c>
      <c r="C46" s="83">
        <v>575.81899999999996</v>
      </c>
      <c r="D46" s="83">
        <v>1381.8309999999999</v>
      </c>
      <c r="E46" s="83">
        <v>702.64800000000002</v>
      </c>
      <c r="F46" s="83">
        <v>100.476</v>
      </c>
      <c r="G46" s="146">
        <v>560.88900000000001</v>
      </c>
      <c r="H46" s="723">
        <v>44</v>
      </c>
      <c r="I46" s="723">
        <v>293</v>
      </c>
      <c r="J46" s="146">
        <v>67.322999999999993</v>
      </c>
      <c r="K46" s="715"/>
    </row>
    <row r="47" spans="1:11">
      <c r="A47" s="145" t="s">
        <v>262</v>
      </c>
      <c r="B47" s="83">
        <v>0</v>
      </c>
      <c r="C47" s="83">
        <v>0</v>
      </c>
      <c r="D47" s="83">
        <v>751.96299999999997</v>
      </c>
      <c r="E47" s="83">
        <v>8.1959999999999997</v>
      </c>
      <c r="F47" s="83">
        <v>44.258000000000003</v>
      </c>
      <c r="G47" s="146">
        <v>92.096000000000004</v>
      </c>
      <c r="H47" s="723">
        <v>0</v>
      </c>
      <c r="I47" s="723">
        <v>0</v>
      </c>
      <c r="J47" s="146">
        <v>709.87</v>
      </c>
      <c r="K47" s="715"/>
    </row>
    <row r="48" spans="1:11">
      <c r="A48" s="145" t="s">
        <v>263</v>
      </c>
      <c r="B48" s="83">
        <v>0</v>
      </c>
      <c r="C48" s="83">
        <v>0</v>
      </c>
      <c r="D48" s="83">
        <v>0</v>
      </c>
      <c r="E48" s="83">
        <v>0</v>
      </c>
      <c r="F48" s="83">
        <v>0</v>
      </c>
      <c r="G48" s="146">
        <v>220.93199999999999</v>
      </c>
      <c r="H48" s="723">
        <v>12633</v>
      </c>
      <c r="I48" s="723">
        <v>0</v>
      </c>
      <c r="J48" s="146">
        <v>0</v>
      </c>
      <c r="K48" s="715"/>
    </row>
    <row r="49" spans="1:11">
      <c r="A49" s="145" t="s">
        <v>264</v>
      </c>
      <c r="B49" s="83">
        <v>4066.8580000000002</v>
      </c>
      <c r="C49" s="83">
        <v>6978.5720000000001</v>
      </c>
      <c r="D49" s="83">
        <v>7405.4390000000003</v>
      </c>
      <c r="E49" s="83">
        <v>12845.563</v>
      </c>
      <c r="F49" s="83">
        <v>10218.576999999999</v>
      </c>
      <c r="G49" s="146">
        <v>11788.047</v>
      </c>
      <c r="H49" s="723">
        <v>12808</v>
      </c>
      <c r="I49" s="723">
        <v>10356</v>
      </c>
      <c r="J49" s="146">
        <v>9339.6610000000001</v>
      </c>
      <c r="K49" s="715"/>
    </row>
    <row r="50" spans="1:11">
      <c r="A50" s="145" t="s">
        <v>265</v>
      </c>
      <c r="B50" s="83">
        <v>0</v>
      </c>
      <c r="C50" s="83">
        <v>0</v>
      </c>
      <c r="D50" s="83">
        <v>0</v>
      </c>
      <c r="E50" s="83">
        <v>0</v>
      </c>
      <c r="F50" s="83">
        <v>0</v>
      </c>
      <c r="G50" s="146">
        <v>0</v>
      </c>
      <c r="H50" s="723">
        <v>0</v>
      </c>
      <c r="I50" s="723">
        <v>0</v>
      </c>
      <c r="J50" s="146">
        <v>1235.1289999999999</v>
      </c>
      <c r="K50" s="715"/>
    </row>
    <row r="51" spans="1:11">
      <c r="A51" s="145" t="s">
        <v>266</v>
      </c>
      <c r="B51" s="83">
        <v>0</v>
      </c>
      <c r="C51" s="83">
        <v>0</v>
      </c>
      <c r="D51" s="83">
        <v>0</v>
      </c>
      <c r="E51" s="83">
        <v>0</v>
      </c>
      <c r="F51" s="83">
        <v>135.435</v>
      </c>
      <c r="G51" s="146">
        <v>0</v>
      </c>
      <c r="H51" s="723">
        <v>682</v>
      </c>
      <c r="I51" s="723">
        <v>0</v>
      </c>
      <c r="J51" s="146">
        <v>2008.0740000000001</v>
      </c>
      <c r="K51" s="715"/>
    </row>
    <row r="52" spans="1:11">
      <c r="A52" s="145" t="s">
        <v>267</v>
      </c>
      <c r="B52" s="83">
        <v>0</v>
      </c>
      <c r="C52" s="83">
        <v>0</v>
      </c>
      <c r="D52" s="83">
        <v>752.49900000000002</v>
      </c>
      <c r="E52" s="83">
        <v>0</v>
      </c>
      <c r="F52" s="83">
        <v>0</v>
      </c>
      <c r="G52" s="146">
        <v>1515.155</v>
      </c>
      <c r="H52" s="723">
        <v>546</v>
      </c>
      <c r="I52" s="723">
        <v>541</v>
      </c>
      <c r="J52" s="146">
        <v>0</v>
      </c>
      <c r="K52" s="715"/>
    </row>
    <row r="53" spans="1:11">
      <c r="A53" s="145" t="s">
        <v>268</v>
      </c>
      <c r="B53" s="83">
        <v>0</v>
      </c>
      <c r="C53" s="83">
        <v>0</v>
      </c>
      <c r="D53" s="83">
        <v>0</v>
      </c>
      <c r="E53" s="83">
        <v>0</v>
      </c>
      <c r="F53" s="83">
        <v>0</v>
      </c>
      <c r="G53" s="146">
        <v>0</v>
      </c>
      <c r="H53" s="723">
        <v>0</v>
      </c>
      <c r="I53" s="723">
        <v>0</v>
      </c>
      <c r="J53" s="146">
        <v>22.198</v>
      </c>
      <c r="K53" s="715"/>
    </row>
    <row r="54" spans="1:11" ht="25.5">
      <c r="A54" s="147" t="s">
        <v>269</v>
      </c>
      <c r="B54" s="84">
        <v>-10533.448</v>
      </c>
      <c r="C54" s="84">
        <v>13535.148999999999</v>
      </c>
      <c r="D54" s="84">
        <v>4611.3620000000001</v>
      </c>
      <c r="E54" s="84">
        <v>8408.1689999999999</v>
      </c>
      <c r="F54" s="84">
        <v>29924.062999999998</v>
      </c>
      <c r="G54" s="166">
        <v>7964.0770000000002</v>
      </c>
      <c r="H54" s="724">
        <v>50413</v>
      </c>
      <c r="I54" s="724">
        <v>24575</v>
      </c>
      <c r="J54" s="166">
        <v>8766.8809999999994</v>
      </c>
      <c r="K54" s="715"/>
    </row>
    <row r="55" spans="1:11">
      <c r="A55" s="145" t="s">
        <v>270</v>
      </c>
      <c r="B55" s="83">
        <v>0</v>
      </c>
      <c r="C55" s="83">
        <v>0</v>
      </c>
      <c r="D55" s="83">
        <v>0</v>
      </c>
      <c r="E55" s="83">
        <v>0</v>
      </c>
      <c r="F55" s="83">
        <v>0</v>
      </c>
      <c r="G55" s="146">
        <v>0</v>
      </c>
      <c r="H55" s="723">
        <v>0</v>
      </c>
      <c r="I55" s="723">
        <v>0</v>
      </c>
      <c r="J55" s="146">
        <v>0</v>
      </c>
      <c r="K55" s="715"/>
    </row>
    <row r="56" spans="1:11">
      <c r="A56" s="145" t="s">
        <v>271</v>
      </c>
      <c r="B56" s="83">
        <v>0</v>
      </c>
      <c r="C56" s="83">
        <v>628.79999999999995</v>
      </c>
      <c r="D56" s="83">
        <v>0</v>
      </c>
      <c r="E56" s="83">
        <v>0</v>
      </c>
      <c r="F56" s="83">
        <v>0</v>
      </c>
      <c r="G56" s="146">
        <v>0</v>
      </c>
      <c r="H56" s="723">
        <v>0</v>
      </c>
      <c r="I56" s="723">
        <v>0</v>
      </c>
      <c r="J56" s="146">
        <v>0</v>
      </c>
      <c r="K56" s="715"/>
    </row>
    <row r="57" spans="1:11">
      <c r="A57" s="145" t="s">
        <v>272</v>
      </c>
      <c r="B57" s="83">
        <v>0</v>
      </c>
      <c r="C57" s="83">
        <v>0</v>
      </c>
      <c r="D57" s="83">
        <v>0</v>
      </c>
      <c r="E57" s="83">
        <v>0</v>
      </c>
      <c r="F57" s="83">
        <v>0</v>
      </c>
      <c r="G57" s="146">
        <v>0</v>
      </c>
      <c r="H57" s="723">
        <v>0</v>
      </c>
      <c r="I57" s="723">
        <v>0</v>
      </c>
      <c r="J57" s="146">
        <v>40</v>
      </c>
      <c r="K57" s="715"/>
    </row>
    <row r="58" spans="1:11">
      <c r="A58" s="145" t="s">
        <v>273</v>
      </c>
      <c r="B58" s="83">
        <v>1877.498</v>
      </c>
      <c r="C58" s="83">
        <v>2166.1840000000002</v>
      </c>
      <c r="D58" s="83">
        <v>903.58699999999999</v>
      </c>
      <c r="E58" s="83">
        <v>1710.6079999999999</v>
      </c>
      <c r="F58" s="83">
        <v>1833.8710000000001</v>
      </c>
      <c r="G58" s="146">
        <v>1566.0809999999999</v>
      </c>
      <c r="H58" s="723">
        <v>1567.0809999999999</v>
      </c>
      <c r="I58" s="723">
        <v>1568.0809999999999</v>
      </c>
      <c r="J58" s="146">
        <v>892.42600000000004</v>
      </c>
      <c r="K58" s="715"/>
    </row>
    <row r="59" spans="1:11">
      <c r="A59" s="145" t="s">
        <v>274</v>
      </c>
      <c r="B59" s="83">
        <v>0</v>
      </c>
      <c r="C59" s="83">
        <v>0</v>
      </c>
      <c r="D59" s="83">
        <v>0</v>
      </c>
      <c r="E59" s="83">
        <v>0</v>
      </c>
      <c r="F59" s="83">
        <v>0</v>
      </c>
      <c r="G59" s="146">
        <v>38.604999999999997</v>
      </c>
      <c r="H59" s="723">
        <v>486</v>
      </c>
      <c r="I59" s="723">
        <v>1882</v>
      </c>
      <c r="J59" s="146">
        <v>224.87200000000001</v>
      </c>
      <c r="K59" s="715"/>
    </row>
    <row r="60" spans="1:11">
      <c r="A60" s="145" t="s">
        <v>275</v>
      </c>
      <c r="B60" s="83">
        <v>0</v>
      </c>
      <c r="C60" s="83">
        <v>0</v>
      </c>
      <c r="D60" s="83">
        <v>0</v>
      </c>
      <c r="E60" s="83">
        <v>0</v>
      </c>
      <c r="F60" s="83">
        <v>0</v>
      </c>
      <c r="G60" s="146">
        <v>0</v>
      </c>
      <c r="H60" s="723">
        <v>1506</v>
      </c>
      <c r="I60" s="723">
        <v>3876</v>
      </c>
      <c r="J60" s="146">
        <v>0</v>
      </c>
      <c r="K60" s="715"/>
    </row>
    <row r="61" spans="1:11">
      <c r="A61" s="145" t="s">
        <v>276</v>
      </c>
      <c r="B61" s="83">
        <v>2035.751</v>
      </c>
      <c r="C61" s="83">
        <v>65.152000000000001</v>
      </c>
      <c r="D61" s="83">
        <v>4596.2749999999996</v>
      </c>
      <c r="E61" s="83">
        <v>0</v>
      </c>
      <c r="F61" s="83">
        <v>0</v>
      </c>
      <c r="G61" s="146">
        <v>0</v>
      </c>
      <c r="H61" s="723">
        <v>0</v>
      </c>
      <c r="I61" s="723">
        <v>0</v>
      </c>
      <c r="J61" s="146">
        <v>0</v>
      </c>
      <c r="K61" s="715"/>
    </row>
    <row r="62" spans="1:11">
      <c r="A62" s="145" t="s">
        <v>277</v>
      </c>
      <c r="B62" s="83">
        <v>0</v>
      </c>
      <c r="C62" s="83">
        <v>0</v>
      </c>
      <c r="D62" s="83">
        <v>0</v>
      </c>
      <c r="E62" s="83">
        <v>0</v>
      </c>
      <c r="F62" s="83">
        <v>0</v>
      </c>
      <c r="G62" s="146">
        <v>0</v>
      </c>
      <c r="H62" s="723">
        <v>0</v>
      </c>
      <c r="I62" s="723">
        <v>38</v>
      </c>
      <c r="J62" s="146">
        <v>105.574</v>
      </c>
      <c r="K62" s="715"/>
    </row>
    <row r="63" spans="1:11">
      <c r="A63" s="145" t="s">
        <v>278</v>
      </c>
      <c r="B63" s="83">
        <v>1465.001</v>
      </c>
      <c r="C63" s="83">
        <v>2343.7539999999999</v>
      </c>
      <c r="D63" s="83">
        <v>2921.54</v>
      </c>
      <c r="E63" s="83">
        <v>2810.9589999999998</v>
      </c>
      <c r="F63" s="83">
        <v>2187.578</v>
      </c>
      <c r="G63" s="146">
        <v>1864.1980000000001</v>
      </c>
      <c r="H63" s="723">
        <v>1538</v>
      </c>
      <c r="I63" s="723">
        <v>0</v>
      </c>
      <c r="J63" s="146">
        <v>0</v>
      </c>
      <c r="K63" s="715"/>
    </row>
    <row r="64" spans="1:11">
      <c r="A64" s="145" t="s">
        <v>279</v>
      </c>
      <c r="B64" s="83">
        <v>0</v>
      </c>
      <c r="C64" s="83">
        <v>0</v>
      </c>
      <c r="D64" s="83">
        <v>0</v>
      </c>
      <c r="E64" s="83">
        <v>0</v>
      </c>
      <c r="F64" s="83">
        <v>222.762</v>
      </c>
      <c r="G64" s="146">
        <v>0</v>
      </c>
      <c r="H64" s="723">
        <v>0</v>
      </c>
      <c r="I64" s="723">
        <v>254</v>
      </c>
      <c r="J64" s="146">
        <v>181.50299999999999</v>
      </c>
      <c r="K64" s="715"/>
    </row>
    <row r="65" spans="1:11">
      <c r="A65" s="145" t="s">
        <v>280</v>
      </c>
      <c r="B65" s="83">
        <v>0</v>
      </c>
      <c r="C65" s="83">
        <v>0</v>
      </c>
      <c r="D65" s="83">
        <v>0</v>
      </c>
      <c r="E65" s="83">
        <v>0</v>
      </c>
      <c r="F65" s="83">
        <v>1</v>
      </c>
      <c r="G65" s="146">
        <v>0</v>
      </c>
      <c r="H65" s="723">
        <v>0</v>
      </c>
      <c r="I65" s="723">
        <v>0</v>
      </c>
      <c r="J65" s="146">
        <v>1606.7829999999999</v>
      </c>
      <c r="K65" s="715"/>
    </row>
    <row r="66" spans="1:11" ht="25.5">
      <c r="A66" s="147" t="s">
        <v>281</v>
      </c>
      <c r="B66" s="83">
        <v>1623.2539999999999</v>
      </c>
      <c r="C66" s="83">
        <v>-386.07799999999997</v>
      </c>
      <c r="D66" s="83">
        <v>6614.2280000000001</v>
      </c>
      <c r="E66" s="83">
        <v>1100.3510000000001</v>
      </c>
      <c r="F66" s="83">
        <v>577.46900000000005</v>
      </c>
      <c r="G66" s="146">
        <v>259.512</v>
      </c>
      <c r="H66" s="723">
        <v>-453</v>
      </c>
      <c r="I66" s="723">
        <v>-5467</v>
      </c>
      <c r="J66" s="146">
        <v>736.56200000000001</v>
      </c>
      <c r="K66" s="715"/>
    </row>
    <row r="67" spans="1:11">
      <c r="A67" s="145" t="s">
        <v>282</v>
      </c>
      <c r="B67" s="83">
        <v>0</v>
      </c>
      <c r="C67" s="83">
        <v>0</v>
      </c>
      <c r="D67" s="83">
        <v>0</v>
      </c>
      <c r="E67" s="83">
        <v>0</v>
      </c>
      <c r="F67" s="83">
        <v>0</v>
      </c>
      <c r="G67" s="146">
        <v>0</v>
      </c>
      <c r="H67" s="723">
        <v>0</v>
      </c>
      <c r="I67" s="723">
        <v>0</v>
      </c>
      <c r="J67" s="146">
        <v>0</v>
      </c>
      <c r="K67" s="715"/>
    </row>
    <row r="68" spans="1:11">
      <c r="A68" s="145" t="s">
        <v>283</v>
      </c>
      <c r="B68" s="83">
        <v>0</v>
      </c>
      <c r="C68" s="83">
        <v>0</v>
      </c>
      <c r="D68" s="83">
        <v>0</v>
      </c>
      <c r="E68" s="83">
        <v>0</v>
      </c>
      <c r="F68" s="83">
        <v>0</v>
      </c>
      <c r="G68" s="146">
        <v>0</v>
      </c>
      <c r="H68" s="723">
        <v>0</v>
      </c>
      <c r="I68" s="723">
        <v>0</v>
      </c>
      <c r="J68" s="146">
        <v>0</v>
      </c>
      <c r="K68" s="715"/>
    </row>
    <row r="69" spans="1:11">
      <c r="A69" s="145" t="s">
        <v>284</v>
      </c>
      <c r="B69" s="83">
        <v>0</v>
      </c>
      <c r="C69" s="83">
        <v>0</v>
      </c>
      <c r="D69" s="83">
        <v>0</v>
      </c>
      <c r="E69" s="83">
        <v>0</v>
      </c>
      <c r="F69" s="83">
        <v>0</v>
      </c>
      <c r="G69" s="146">
        <v>0</v>
      </c>
      <c r="H69" s="723">
        <v>0</v>
      </c>
      <c r="I69" s="723">
        <v>0</v>
      </c>
      <c r="J69" s="146">
        <v>0</v>
      </c>
      <c r="K69" s="715"/>
    </row>
    <row r="70" spans="1:11">
      <c r="A70" s="145" t="s">
        <v>285</v>
      </c>
      <c r="B70" s="83">
        <v>0</v>
      </c>
      <c r="C70" s="83">
        <v>0</v>
      </c>
      <c r="D70" s="83">
        <v>0</v>
      </c>
      <c r="E70" s="83">
        <v>0</v>
      </c>
      <c r="F70" s="83">
        <v>0</v>
      </c>
      <c r="G70" s="146">
        <v>0</v>
      </c>
      <c r="H70" s="723">
        <v>0</v>
      </c>
      <c r="I70" s="723">
        <v>0</v>
      </c>
      <c r="J70" s="146">
        <v>0</v>
      </c>
      <c r="K70" s="715"/>
    </row>
    <row r="71" spans="1:11">
      <c r="A71" s="145" t="s">
        <v>286</v>
      </c>
      <c r="B71" s="83">
        <v>0</v>
      </c>
      <c r="C71" s="83">
        <v>0</v>
      </c>
      <c r="D71" s="83">
        <v>0</v>
      </c>
      <c r="E71" s="83">
        <v>0</v>
      </c>
      <c r="F71" s="83">
        <v>0</v>
      </c>
      <c r="G71" s="146">
        <v>0</v>
      </c>
      <c r="H71" s="723">
        <v>0</v>
      </c>
      <c r="I71" s="723">
        <v>0</v>
      </c>
      <c r="J71" s="146">
        <v>0</v>
      </c>
      <c r="K71" s="715"/>
    </row>
    <row r="72" spans="1:11">
      <c r="A72" s="145" t="s">
        <v>287</v>
      </c>
      <c r="B72" s="83">
        <v>0</v>
      </c>
      <c r="C72" s="83">
        <v>0</v>
      </c>
      <c r="D72" s="83">
        <v>0</v>
      </c>
      <c r="E72" s="83">
        <v>0</v>
      </c>
      <c r="F72" s="83">
        <v>0</v>
      </c>
      <c r="G72" s="146">
        <v>0</v>
      </c>
      <c r="H72" s="723">
        <v>0</v>
      </c>
      <c r="I72" s="723">
        <v>0</v>
      </c>
      <c r="J72" s="146">
        <v>0</v>
      </c>
      <c r="K72" s="715"/>
    </row>
    <row r="73" spans="1:11">
      <c r="A73" s="145" t="s">
        <v>288</v>
      </c>
      <c r="B73" s="83">
        <v>0</v>
      </c>
      <c r="C73" s="83">
        <v>0</v>
      </c>
      <c r="D73" s="83">
        <v>0</v>
      </c>
      <c r="E73" s="83">
        <v>0</v>
      </c>
      <c r="F73" s="83">
        <v>0</v>
      </c>
      <c r="G73" s="146">
        <v>0</v>
      </c>
      <c r="H73" s="723">
        <v>0</v>
      </c>
      <c r="I73" s="723">
        <v>0</v>
      </c>
      <c r="J73" s="146">
        <v>0</v>
      </c>
      <c r="K73" s="715"/>
    </row>
    <row r="74" spans="1:11" ht="25.5">
      <c r="A74" s="145" t="s">
        <v>289</v>
      </c>
      <c r="B74" s="83">
        <v>0</v>
      </c>
      <c r="C74" s="83">
        <v>0</v>
      </c>
      <c r="D74" s="83">
        <v>0</v>
      </c>
      <c r="E74" s="83">
        <v>0</v>
      </c>
      <c r="F74" s="83">
        <v>0</v>
      </c>
      <c r="G74" s="146">
        <v>0</v>
      </c>
      <c r="H74" s="723">
        <v>0</v>
      </c>
      <c r="I74" s="723">
        <v>0</v>
      </c>
      <c r="J74" s="146">
        <v>0</v>
      </c>
      <c r="K74" s="715"/>
    </row>
    <row r="75" spans="1:11">
      <c r="A75" s="145" t="s">
        <v>290</v>
      </c>
      <c r="B75" s="83">
        <v>0</v>
      </c>
      <c r="C75" s="83">
        <v>0</v>
      </c>
      <c r="D75" s="83">
        <v>0</v>
      </c>
      <c r="E75" s="83">
        <v>0</v>
      </c>
      <c r="F75" s="83">
        <v>0</v>
      </c>
      <c r="G75" s="146">
        <v>0</v>
      </c>
      <c r="H75" s="723">
        <v>0</v>
      </c>
      <c r="I75" s="723">
        <v>0</v>
      </c>
      <c r="J75" s="146">
        <v>0</v>
      </c>
      <c r="K75" s="715"/>
    </row>
    <row r="76" spans="1:11">
      <c r="A76" s="145" t="s">
        <v>291</v>
      </c>
      <c r="B76" s="83">
        <v>0</v>
      </c>
      <c r="C76" s="83">
        <v>0</v>
      </c>
      <c r="D76" s="83">
        <v>0</v>
      </c>
      <c r="E76" s="83">
        <v>0</v>
      </c>
      <c r="F76" s="83">
        <v>0</v>
      </c>
      <c r="G76" s="146">
        <v>0</v>
      </c>
      <c r="H76" s="723">
        <v>0</v>
      </c>
      <c r="I76" s="723">
        <v>0</v>
      </c>
      <c r="J76" s="146">
        <v>0</v>
      </c>
      <c r="K76" s="715"/>
    </row>
    <row r="77" spans="1:11">
      <c r="A77" s="145" t="s">
        <v>292</v>
      </c>
      <c r="B77" s="83">
        <v>0</v>
      </c>
      <c r="C77" s="83">
        <v>0</v>
      </c>
      <c r="D77" s="83">
        <v>0</v>
      </c>
      <c r="E77" s="83">
        <v>0</v>
      </c>
      <c r="F77" s="83">
        <v>0</v>
      </c>
      <c r="G77" s="146">
        <v>0</v>
      </c>
      <c r="H77" s="723">
        <v>0</v>
      </c>
      <c r="I77" s="723">
        <v>0</v>
      </c>
      <c r="J77" s="146">
        <v>0</v>
      </c>
      <c r="K77" s="715"/>
    </row>
    <row r="78" spans="1:11">
      <c r="A78" s="145" t="s">
        <v>293</v>
      </c>
      <c r="B78" s="83">
        <v>0</v>
      </c>
      <c r="C78" s="83">
        <v>13753.022000000001</v>
      </c>
      <c r="D78" s="83">
        <v>7002.3789999999999</v>
      </c>
      <c r="E78" s="83">
        <v>11055.378000000001</v>
      </c>
      <c r="F78" s="83">
        <v>28107.853999999999</v>
      </c>
      <c r="G78" s="146">
        <v>11883.111999999999</v>
      </c>
      <c r="H78" s="723">
        <v>49837</v>
      </c>
      <c r="I78" s="723">
        <v>15038</v>
      </c>
      <c r="J78" s="146">
        <v>13841.267</v>
      </c>
      <c r="K78" s="715"/>
    </row>
    <row r="79" spans="1:11">
      <c r="A79" s="145" t="s">
        <v>294</v>
      </c>
      <c r="B79" s="83">
        <v>0</v>
      </c>
      <c r="C79" s="83">
        <v>-13753.022000000001</v>
      </c>
      <c r="D79" s="83">
        <v>-7002.3789999999999</v>
      </c>
      <c r="E79" s="83">
        <v>-11055.378000000001</v>
      </c>
      <c r="F79" s="83">
        <v>-28107.853999999999</v>
      </c>
      <c r="G79" s="146">
        <v>-11883.111999999999</v>
      </c>
      <c r="H79" s="723">
        <v>-49837</v>
      </c>
      <c r="I79" s="723">
        <v>-15038</v>
      </c>
      <c r="J79" s="146">
        <v>-13841.267</v>
      </c>
      <c r="K79" s="715"/>
    </row>
    <row r="80" spans="1:11">
      <c r="A80" s="145" t="s">
        <v>295</v>
      </c>
      <c r="B80" s="83">
        <v>-8910.1939999999995</v>
      </c>
      <c r="C80" s="83">
        <v>-603.95100000000002</v>
      </c>
      <c r="D80" s="83">
        <v>4223.2110000000002</v>
      </c>
      <c r="E80" s="83">
        <v>-1546.8579999999999</v>
      </c>
      <c r="F80" s="83">
        <v>2393.6779999999999</v>
      </c>
      <c r="G80" s="146">
        <v>-3659.5230000000001</v>
      </c>
      <c r="H80" s="723">
        <v>124</v>
      </c>
      <c r="I80" s="723">
        <v>4071</v>
      </c>
      <c r="J80" s="146">
        <v>-4337.8239999999996</v>
      </c>
      <c r="K80" s="715"/>
    </row>
    <row r="81" spans="1:11">
      <c r="A81" s="145" t="s">
        <v>296</v>
      </c>
      <c r="B81" s="83">
        <v>15740.88</v>
      </c>
      <c r="C81" s="83">
        <v>6830.6859999999997</v>
      </c>
      <c r="D81" s="83">
        <v>6226.7349999999997</v>
      </c>
      <c r="E81" s="83">
        <v>10449.946</v>
      </c>
      <c r="F81" s="83">
        <v>8903.0879999999997</v>
      </c>
      <c r="G81" s="146">
        <v>11296.766</v>
      </c>
      <c r="H81" s="723">
        <v>7637</v>
      </c>
      <c r="I81" s="723">
        <v>7761</v>
      </c>
      <c r="J81" s="146">
        <v>11831.489</v>
      </c>
      <c r="K81" s="715"/>
    </row>
    <row r="82" spans="1:11" ht="15.75" thickBot="1">
      <c r="A82" s="149" t="s">
        <v>297</v>
      </c>
      <c r="B82" s="150">
        <v>6830.6859999999997</v>
      </c>
      <c r="C82" s="150">
        <v>6226.7349999999997</v>
      </c>
      <c r="D82" s="150">
        <v>10449.946</v>
      </c>
      <c r="E82" s="150">
        <v>8903.0879999999997</v>
      </c>
      <c r="F82" s="150">
        <v>11296.766</v>
      </c>
      <c r="G82" s="151">
        <v>7637.2430000000004</v>
      </c>
      <c r="H82" s="725">
        <v>7761</v>
      </c>
      <c r="I82" s="725">
        <v>11831</v>
      </c>
      <c r="J82" s="151">
        <v>7493.665</v>
      </c>
      <c r="K82" s="715"/>
    </row>
    <row r="83" spans="1:11" ht="39" thickTop="1">
      <c r="A83" s="85" t="s">
        <v>422</v>
      </c>
      <c r="B83" s="266"/>
      <c r="C83" s="86"/>
      <c r="D83" s="86"/>
      <c r="E83" s="86"/>
      <c r="F83" s="86"/>
      <c r="G83" s="86"/>
      <c r="H83" s="726"/>
      <c r="I83" s="726"/>
      <c r="J83" s="86"/>
      <c r="K83" s="715"/>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21"/>
  <sheetViews>
    <sheetView zoomScale="120" zoomScaleNormal="120" workbookViewId="0">
      <pane xSplit="1" ySplit="1" topLeftCell="B2" activePane="bottomRight" state="frozen"/>
      <selection pane="topRight" activeCell="B1" sqref="B1"/>
      <selection pane="bottomLeft" activeCell="A2" sqref="A2"/>
      <selection pane="bottomRight" activeCell="I6" sqref="I6"/>
    </sheetView>
  </sheetViews>
  <sheetFormatPr baseColWidth="10" defaultRowHeight="15"/>
  <cols>
    <col min="1" max="1" width="21.140625" style="86" bestFit="1" customWidth="1"/>
    <col min="2" max="2" width="14" style="86" customWidth="1"/>
    <col min="3" max="3" width="13" style="86" customWidth="1"/>
    <col min="4" max="4" width="11.42578125" style="86" customWidth="1"/>
    <col min="5" max="11" width="11.42578125" style="86"/>
    <col min="12" max="13" width="11.42578125" style="64"/>
  </cols>
  <sheetData>
    <row r="1" spans="1:22" ht="15.75" thickTop="1">
      <c r="A1" s="254" t="s">
        <v>99</v>
      </c>
      <c r="B1" s="255">
        <v>2007</v>
      </c>
      <c r="C1" s="255">
        <v>2008</v>
      </c>
      <c r="D1" s="255">
        <v>2009</v>
      </c>
      <c r="E1" s="255">
        <v>2010</v>
      </c>
      <c r="F1" s="597">
        <v>2011</v>
      </c>
      <c r="G1" s="256">
        <v>2012</v>
      </c>
      <c r="H1" s="597">
        <v>2013</v>
      </c>
      <c r="I1" s="256">
        <v>2014</v>
      </c>
      <c r="J1" s="605"/>
      <c r="K1" s="257">
        <v>0.33</v>
      </c>
      <c r="L1" s="94"/>
      <c r="M1" s="94"/>
      <c r="N1" s="63"/>
      <c r="P1" s="43"/>
      <c r="Q1" s="43"/>
      <c r="R1" s="43"/>
      <c r="S1" s="43"/>
      <c r="T1" s="43"/>
      <c r="U1" s="43"/>
      <c r="V1" s="43"/>
    </row>
    <row r="2" spans="1:22">
      <c r="A2" s="258" t="s">
        <v>100</v>
      </c>
      <c r="B2" s="259">
        <f>+'Anexo 2 - ER'!C14</f>
        <v>14740.263000000001</v>
      </c>
      <c r="C2" s="259">
        <f>+'Anexo 2 - ER'!D14</f>
        <v>20704.758000000002</v>
      </c>
      <c r="D2" s="259">
        <f>+'Anexo 2 - ER'!E14</f>
        <v>20265.825000000001</v>
      </c>
      <c r="E2" s="259">
        <f>+'Anexo 2 - ER'!F14</f>
        <v>23675.207999999999</v>
      </c>
      <c r="F2" s="598">
        <f>+'Anexo 2 - ER'!G14</f>
        <v>19528.064999999999</v>
      </c>
      <c r="G2" s="260">
        <f>+'Anexo 2 - ER'!H14</f>
        <v>22089.508999999998</v>
      </c>
      <c r="H2" s="598">
        <f>+'Anexo 2 - ER'!I14</f>
        <v>18139.900000000009</v>
      </c>
      <c r="I2" s="260">
        <f>+'Anexo 2 - ER'!J14</f>
        <v>12903.960000000003</v>
      </c>
      <c r="J2" s="606"/>
      <c r="K2" s="261">
        <v>2</v>
      </c>
      <c r="L2" s="239">
        <f>(1+K2)^(1/5)-1</f>
        <v>0.2457309396155174</v>
      </c>
      <c r="M2" s="79"/>
      <c r="N2" s="79"/>
      <c r="O2" s="79">
        <v>10839</v>
      </c>
      <c r="P2" s="62"/>
      <c r="Q2" s="62"/>
      <c r="R2" s="62"/>
      <c r="S2" s="62"/>
      <c r="T2" s="62"/>
      <c r="U2" s="62"/>
      <c r="V2" s="62"/>
    </row>
    <row r="3" spans="1:22">
      <c r="A3" s="262" t="s">
        <v>101</v>
      </c>
      <c r="B3" s="259">
        <f>+'Anexo 3 - FC'!C5</f>
        <v>427.52499999999998</v>
      </c>
      <c r="C3" s="259">
        <f>+'Anexo 3 - FC'!D5</f>
        <v>456.274</v>
      </c>
      <c r="D3" s="259">
        <f>+'Anexo 3 - FC'!E5</f>
        <v>439.75099999999998</v>
      </c>
      <c r="E3" s="259">
        <f>+'Anexo 3 - FC'!F5</f>
        <v>479.72699999999998</v>
      </c>
      <c r="F3" s="598">
        <f>+'Anexo 3 - FC'!G5</f>
        <v>381.26100000000002</v>
      </c>
      <c r="G3" s="260">
        <f>+'Anexo 3 - FC'!H5</f>
        <v>342</v>
      </c>
      <c r="H3" s="598">
        <f>+'Anexo 3 - FC'!I5</f>
        <v>281</v>
      </c>
      <c r="I3" s="260">
        <f>+'Anexo 3 - FC'!J5</f>
        <v>193.89</v>
      </c>
      <c r="J3" s="606"/>
      <c r="K3" s="113"/>
      <c r="L3" s="79"/>
      <c r="M3" s="79"/>
      <c r="N3" s="79"/>
      <c r="O3" s="70">
        <v>39175</v>
      </c>
      <c r="P3" s="62"/>
      <c r="Q3" s="62"/>
      <c r="R3" s="62"/>
      <c r="S3" s="62"/>
      <c r="T3" s="62"/>
      <c r="U3" s="62"/>
      <c r="V3" s="62"/>
    </row>
    <row r="4" spans="1:22">
      <c r="A4" s="262" t="s">
        <v>102</v>
      </c>
      <c r="B4" s="259">
        <f>+'Anexo 3 - FC'!C6</f>
        <v>0</v>
      </c>
      <c r="C4" s="259">
        <f>+'Anexo 3 - FC'!D6</f>
        <v>0.221</v>
      </c>
      <c r="D4" s="259">
        <f>+'Anexo 3 - FC'!E6</f>
        <v>0</v>
      </c>
      <c r="E4" s="259">
        <f>+'Anexo 3 - FC'!F6</f>
        <v>0</v>
      </c>
      <c r="F4" s="598">
        <f>+'Anexo 3 - FC'!G6</f>
        <v>0</v>
      </c>
      <c r="G4" s="260">
        <f>+'Anexo 3 - FC'!H6</f>
        <v>21</v>
      </c>
      <c r="H4" s="598">
        <f>+'Anexo 3 - FC'!I6</f>
        <v>37</v>
      </c>
      <c r="I4" s="260">
        <f>+'Anexo 3 - FC'!J6</f>
        <v>114.69</v>
      </c>
      <c r="J4" s="606"/>
      <c r="K4" s="113"/>
      <c r="L4" s="79"/>
      <c r="M4" s="79"/>
      <c r="N4" s="19"/>
      <c r="O4" s="19"/>
      <c r="P4" s="44"/>
      <c r="Q4" s="44"/>
      <c r="R4" s="44"/>
      <c r="S4" s="44"/>
      <c r="T4" s="44"/>
      <c r="U4" s="44"/>
      <c r="V4" s="44"/>
    </row>
    <row r="5" spans="1:22">
      <c r="A5" s="262" t="s">
        <v>103</v>
      </c>
      <c r="B5" s="259">
        <v>0</v>
      </c>
      <c r="C5" s="259">
        <v>0</v>
      </c>
      <c r="D5" s="259">
        <v>0</v>
      </c>
      <c r="E5" s="259">
        <v>0</v>
      </c>
      <c r="F5" s="598">
        <v>0</v>
      </c>
      <c r="G5" s="260">
        <v>0</v>
      </c>
      <c r="H5" s="598">
        <v>0</v>
      </c>
      <c r="I5" s="260">
        <v>0</v>
      </c>
      <c r="J5" s="606"/>
      <c r="K5" s="113"/>
      <c r="L5" s="79"/>
      <c r="M5" s="79"/>
      <c r="N5" s="79"/>
      <c r="O5" s="79"/>
      <c r="P5" s="62"/>
      <c r="Q5" s="62"/>
      <c r="R5" s="62"/>
      <c r="S5" s="62"/>
      <c r="T5" s="62"/>
      <c r="U5" s="62"/>
      <c r="V5" s="62"/>
    </row>
    <row r="6" spans="1:22">
      <c r="A6" s="258" t="s">
        <v>5</v>
      </c>
      <c r="B6" s="259">
        <f t="shared" ref="B6:G6" si="0">+SUM(B2:B5)</f>
        <v>15167.788</v>
      </c>
      <c r="C6" s="259">
        <f t="shared" si="0"/>
        <v>21161.253000000004</v>
      </c>
      <c r="D6" s="259">
        <f t="shared" si="0"/>
        <v>20705.576000000001</v>
      </c>
      <c r="E6" s="259">
        <f t="shared" si="0"/>
        <v>24154.934999999998</v>
      </c>
      <c r="F6" s="598">
        <f t="shared" si="0"/>
        <v>19909.325999999997</v>
      </c>
      <c r="G6" s="260">
        <f t="shared" si="0"/>
        <v>22452.508999999998</v>
      </c>
      <c r="H6" s="598">
        <f>+SUM(H2:H5)</f>
        <v>18457.900000000009</v>
      </c>
      <c r="I6" s="260">
        <f>+SUM(I2:I5)</f>
        <v>13212.540000000003</v>
      </c>
      <c r="J6" s="606"/>
      <c r="K6" s="113"/>
      <c r="L6" s="79"/>
      <c r="M6" s="79"/>
      <c r="N6" s="79"/>
      <c r="O6" s="79"/>
      <c r="P6" s="62"/>
      <c r="Q6" s="62"/>
      <c r="R6" s="62"/>
      <c r="S6" s="62"/>
      <c r="T6" s="62"/>
      <c r="U6" s="62"/>
      <c r="V6" s="62"/>
    </row>
    <row r="7" spans="1:22">
      <c r="A7" s="1379">
        <v>0.33</v>
      </c>
      <c r="B7" s="259">
        <f t="shared" ref="B7:G7" si="1">+B2*$K$1</f>
        <v>4864.2867900000001</v>
      </c>
      <c r="C7" s="259">
        <f t="shared" si="1"/>
        <v>6832.5701400000007</v>
      </c>
      <c r="D7" s="259">
        <f t="shared" si="1"/>
        <v>6687.7222500000007</v>
      </c>
      <c r="E7" s="259">
        <f t="shared" si="1"/>
        <v>7812.8186399999995</v>
      </c>
      <c r="F7" s="598">
        <f t="shared" si="1"/>
        <v>6444.26145</v>
      </c>
      <c r="G7" s="260">
        <f t="shared" si="1"/>
        <v>7289.5379699999994</v>
      </c>
      <c r="H7" s="598">
        <f>+H2*$K$1</f>
        <v>5986.1670000000031</v>
      </c>
      <c r="I7" s="260">
        <f>+I2*$K$1</f>
        <v>4258.3068000000012</v>
      </c>
      <c r="J7" s="606"/>
      <c r="K7" s="113"/>
      <c r="L7" s="79"/>
      <c r="M7" s="79"/>
      <c r="N7" s="79"/>
      <c r="O7" s="79"/>
      <c r="P7" s="62"/>
      <c r="Q7" s="62"/>
      <c r="R7" s="62"/>
      <c r="S7" s="62"/>
      <c r="T7" s="62"/>
      <c r="U7" s="62"/>
      <c r="V7" s="62"/>
    </row>
    <row r="8" spans="1:22">
      <c r="A8" s="258" t="s">
        <v>104</v>
      </c>
      <c r="B8" s="259">
        <f t="shared" ref="B8:G8" si="2">+B6-B7</f>
        <v>10303.50121</v>
      </c>
      <c r="C8" s="259">
        <f t="shared" si="2"/>
        <v>14328.682860000004</v>
      </c>
      <c r="D8" s="259">
        <f t="shared" si="2"/>
        <v>14017.85375</v>
      </c>
      <c r="E8" s="259">
        <f t="shared" si="2"/>
        <v>16342.116359999998</v>
      </c>
      <c r="F8" s="598">
        <f t="shared" si="2"/>
        <v>13465.064549999997</v>
      </c>
      <c r="G8" s="260">
        <f t="shared" si="2"/>
        <v>15162.971029999999</v>
      </c>
      <c r="H8" s="598">
        <f>+H6-H7</f>
        <v>12471.733000000006</v>
      </c>
      <c r="I8" s="260">
        <f>+I6-I7</f>
        <v>8954.2332000000024</v>
      </c>
      <c r="J8" s="606"/>
      <c r="K8" s="113"/>
      <c r="L8" s="79"/>
      <c r="M8" s="79"/>
      <c r="N8" s="79"/>
      <c r="O8" s="79"/>
      <c r="P8" s="62"/>
      <c r="Q8" s="62"/>
      <c r="R8" s="62"/>
      <c r="S8" s="62"/>
      <c r="T8" s="62"/>
      <c r="U8" s="62"/>
      <c r="V8" s="62"/>
    </row>
    <row r="9" spans="1:22">
      <c r="A9" s="262" t="s">
        <v>105</v>
      </c>
      <c r="B9" s="259">
        <f>+'Anexo 1 - Balance'!C79-'Anexo 1 - Balance'!B79+'Anexo 3 - FC'!C5</f>
        <v>700.51500000000067</v>
      </c>
      <c r="C9" s="259">
        <f>+'Anexo 1 - Balance'!D79-'Anexo 1 - Balance'!C79+'Anexo 3 - FC'!D5</f>
        <v>-560.82900000000006</v>
      </c>
      <c r="D9" s="259">
        <f>+'Anexo 1 - Balance'!E79-'Anexo 1 - Balance'!D79+'Anexo 3 - FC'!E5</f>
        <v>306.62599999999998</v>
      </c>
      <c r="E9" s="259">
        <f>+'Anexo 1 - Balance'!F79-'Anexo 1 - Balance'!E79+'Anexo 3 - FC'!F5</f>
        <v>-16.428000000000679</v>
      </c>
      <c r="F9" s="598">
        <f>+'Anexo 1 - Balance'!G79-'Anexo 1 - Balance'!F79+'Anexo 3 - FC'!G5</f>
        <v>-123.2849999999998</v>
      </c>
      <c r="G9" s="260">
        <f>+'Anexo 1 - Balance'!H79-'Anexo 1 - Balance'!G79+'Anexo 3 - FC'!H5</f>
        <v>87.664000000000215</v>
      </c>
      <c r="H9" s="598">
        <f>+'Anexo 1 - Balance'!I79-'Anexo 1 - Balance'!H79+'Anexo 3 - FC'!I5</f>
        <v>1003.4369999999999</v>
      </c>
      <c r="I9" s="260">
        <f>+'Anexo 1 - Balance'!J79-'Anexo 1 - Balance'!I79+'Anexo 3 - FC'!J5</f>
        <v>-867.8180000000001</v>
      </c>
      <c r="J9" s="606"/>
      <c r="K9" s="113"/>
      <c r="L9" s="79"/>
      <c r="M9" s="79"/>
      <c r="N9" s="79"/>
      <c r="O9" s="79"/>
      <c r="P9" s="62"/>
      <c r="Q9" s="62"/>
      <c r="R9" s="62"/>
      <c r="S9" s="62"/>
      <c r="T9" s="62"/>
      <c r="U9" s="62"/>
      <c r="V9" s="62"/>
    </row>
    <row r="10" spans="1:22">
      <c r="A10" s="262" t="s">
        <v>106</v>
      </c>
      <c r="B10" s="259">
        <f>+'Anexo 1 - Balance'!C247-'Anexo 1 - Balance'!B247</f>
        <v>-1462.8509999999987</v>
      </c>
      <c r="C10" s="259">
        <f>+'Anexo 1 - Balance'!D247-'Anexo 1 - Balance'!C247</f>
        <v>565.27900000000045</v>
      </c>
      <c r="D10" s="259">
        <f>+'Anexo 1 - Balance'!E247-'Anexo 1 - Balance'!D247</f>
        <v>1724.4179999999997</v>
      </c>
      <c r="E10" s="259">
        <f>+'Anexo 1 - Balance'!F247-'Anexo 1 - Balance'!E247</f>
        <v>-9630.7049999999981</v>
      </c>
      <c r="F10" s="598">
        <f>+'Anexo 1 - Balance'!G247-'Anexo 1 - Balance'!F247</f>
        <v>-5005.8850000000039</v>
      </c>
      <c r="G10" s="260">
        <f>+'Anexo 1 - Balance'!H247-'Anexo 1 - Balance'!G247</f>
        <v>14081.036000000002</v>
      </c>
      <c r="H10" s="598">
        <f>+'Anexo 1 - Balance'!I247-'Anexo 1 - Balance'!H247</f>
        <v>-13321.963</v>
      </c>
      <c r="I10" s="260">
        <f>+'Anexo 1 - Balance'!J247-'Anexo 1 - Balance'!I247</f>
        <v>-21316.655999999995</v>
      </c>
      <c r="J10" s="606"/>
      <c r="K10" s="113"/>
      <c r="L10" s="79"/>
      <c r="M10" s="79"/>
      <c r="N10" s="79"/>
      <c r="O10" s="79"/>
      <c r="P10" s="62"/>
      <c r="Q10" s="62"/>
      <c r="R10" s="62"/>
      <c r="S10" s="62"/>
      <c r="T10" s="62"/>
      <c r="U10" s="62"/>
      <c r="V10" s="62"/>
    </row>
    <row r="11" spans="1:22">
      <c r="A11" s="258" t="s">
        <v>1403</v>
      </c>
      <c r="B11" s="259">
        <f t="shared" ref="B11:G11" si="3">+B8-B9-B10</f>
        <v>11065.837209999998</v>
      </c>
      <c r="C11" s="259">
        <f t="shared" si="3"/>
        <v>14324.232860000004</v>
      </c>
      <c r="D11" s="259">
        <f t="shared" si="3"/>
        <v>11986.80975</v>
      </c>
      <c r="E11" s="259">
        <f t="shared" si="3"/>
        <v>25989.249359999994</v>
      </c>
      <c r="F11" s="598">
        <f t="shared" si="3"/>
        <v>18594.234550000001</v>
      </c>
      <c r="G11" s="260">
        <f t="shared" si="3"/>
        <v>994.27102999999624</v>
      </c>
      <c r="H11" s="598">
        <f>+H8-H9-H10</f>
        <v>24790.259000000005</v>
      </c>
      <c r="I11" s="260">
        <f>+I8-I9-I10</f>
        <v>31138.707199999997</v>
      </c>
      <c r="J11" s="606"/>
      <c r="K11" s="113"/>
      <c r="L11" s="79"/>
      <c r="M11" s="79"/>
      <c r="N11" s="79"/>
      <c r="O11" s="79"/>
      <c r="P11" s="62"/>
      <c r="Q11" s="62"/>
      <c r="R11" s="62"/>
      <c r="S11" s="62"/>
      <c r="T11" s="62"/>
      <c r="U11" s="62"/>
      <c r="V11" s="62"/>
    </row>
    <row r="12" spans="1:22">
      <c r="A12" s="262" t="s">
        <v>107</v>
      </c>
      <c r="B12" s="259">
        <f t="shared" ref="B12:G12" si="4">+B18</f>
        <v>0</v>
      </c>
      <c r="C12" s="259">
        <f t="shared" si="4"/>
        <v>0</v>
      </c>
      <c r="D12" s="259">
        <f t="shared" si="4"/>
        <v>0</v>
      </c>
      <c r="E12" s="259">
        <f t="shared" si="4"/>
        <v>0</v>
      </c>
      <c r="F12" s="598">
        <f t="shared" si="4"/>
        <v>0</v>
      </c>
      <c r="G12" s="260">
        <f t="shared" si="4"/>
        <v>1276.5730000000001</v>
      </c>
      <c r="H12" s="598">
        <f>+H18</f>
        <v>-993.57300000000009</v>
      </c>
      <c r="I12" s="260">
        <f>+I18</f>
        <v>-283</v>
      </c>
      <c r="J12" s="606"/>
      <c r="K12" s="113"/>
      <c r="L12" s="79"/>
      <c r="M12" s="79"/>
      <c r="N12" s="79"/>
      <c r="O12" s="79"/>
      <c r="P12" s="62"/>
      <c r="Q12" s="62"/>
      <c r="R12" s="62"/>
      <c r="S12" s="62"/>
      <c r="T12" s="62"/>
      <c r="U12" s="62"/>
      <c r="V12" s="62"/>
    </row>
    <row r="13" spans="1:22">
      <c r="A13" s="262" t="s">
        <v>442</v>
      </c>
      <c r="B13" s="263">
        <f t="shared" ref="B13:G13" si="5">+B16*(1-$K$1)</f>
        <v>0</v>
      </c>
      <c r="C13" s="263">
        <f t="shared" si="5"/>
        <v>0.98958999999999997</v>
      </c>
      <c r="D13" s="263">
        <f t="shared" si="5"/>
        <v>2.5024499999999996</v>
      </c>
      <c r="E13" s="263">
        <f t="shared" si="5"/>
        <v>0</v>
      </c>
      <c r="F13" s="599">
        <f t="shared" si="5"/>
        <v>0</v>
      </c>
      <c r="G13" s="603">
        <f t="shared" si="5"/>
        <v>16.75</v>
      </c>
      <c r="H13" s="599">
        <f>+H16*(1-$K$1)</f>
        <v>2.0099999999999998</v>
      </c>
      <c r="I13" s="603">
        <f>+I16*(1-$K$1)</f>
        <v>1.3399999999999999</v>
      </c>
      <c r="J13" s="607"/>
      <c r="L13" s="19"/>
      <c r="M13" s="19"/>
      <c r="N13" s="19"/>
      <c r="O13" s="19"/>
      <c r="P13" s="44"/>
      <c r="Q13" s="44"/>
      <c r="R13" s="44"/>
      <c r="S13" s="44"/>
      <c r="T13" s="44"/>
      <c r="U13" s="44"/>
      <c r="V13" s="44"/>
    </row>
    <row r="14" spans="1:22" ht="15.75" thickBot="1">
      <c r="A14" s="264" t="s">
        <v>108</v>
      </c>
      <c r="B14" s="265">
        <f t="shared" ref="B14:G14" si="6">+B11+B12-B13</f>
        <v>11065.837209999998</v>
      </c>
      <c r="C14" s="265">
        <f t="shared" si="6"/>
        <v>14323.243270000004</v>
      </c>
      <c r="D14" s="265">
        <f t="shared" si="6"/>
        <v>11984.3073</v>
      </c>
      <c r="E14" s="265">
        <f t="shared" si="6"/>
        <v>25989.249359999994</v>
      </c>
      <c r="F14" s="600">
        <f t="shared" si="6"/>
        <v>18594.234550000001</v>
      </c>
      <c r="G14" s="604">
        <f t="shared" si="6"/>
        <v>2254.0940299999966</v>
      </c>
      <c r="H14" s="600">
        <f>+H11+H12-H13</f>
        <v>23794.676000000007</v>
      </c>
      <c r="I14" s="604">
        <f>+I11+I12-I13</f>
        <v>30854.367199999997</v>
      </c>
      <c r="J14" s="606"/>
      <c r="K14" s="113"/>
      <c r="L14" s="79"/>
      <c r="M14" s="79"/>
      <c r="N14" s="79"/>
      <c r="O14" s="79"/>
      <c r="P14" s="62"/>
      <c r="Q14" s="62"/>
      <c r="R14" s="62"/>
      <c r="S14" s="62"/>
      <c r="T14" s="62"/>
      <c r="U14" s="62"/>
      <c r="V14" s="62"/>
    </row>
    <row r="15" spans="1:22" ht="16.5" thickTop="1" thickBot="1">
      <c r="G15" s="602"/>
      <c r="I15" s="602"/>
      <c r="J15" s="458"/>
    </row>
    <row r="16" spans="1:22" ht="15.75" thickTop="1">
      <c r="A16" s="269" t="s">
        <v>441</v>
      </c>
      <c r="B16" s="270">
        <f>+'Anexo 2 - ER'!C20</f>
        <v>0</v>
      </c>
      <c r="C16" s="270">
        <f>+'Anexo 2 - ER'!D20</f>
        <v>1.4770000000000001</v>
      </c>
      <c r="D16" s="270">
        <f>+'Anexo 2 - ER'!E20</f>
        <v>3.7349999999999999</v>
      </c>
      <c r="E16" s="270">
        <f>+'Anexo 2 - ER'!F20</f>
        <v>0</v>
      </c>
      <c r="F16" s="270">
        <f>+'Anexo 2 - ER'!G20</f>
        <v>0</v>
      </c>
      <c r="G16" s="270">
        <f>+'Anexo 2 - ER'!H20</f>
        <v>25</v>
      </c>
      <c r="H16" s="270">
        <f>+'Anexo 2 - ER'!I20</f>
        <v>3</v>
      </c>
      <c r="I16" s="270">
        <f>+'Anexo 2 - ER'!J20</f>
        <v>2</v>
      </c>
      <c r="J16" s="607"/>
    </row>
    <row r="17" spans="1:11">
      <c r="A17" s="262" t="s">
        <v>424</v>
      </c>
      <c r="B17" s="259">
        <f>'Estados Financieros'!C133</f>
        <v>0</v>
      </c>
      <c r="C17" s="259">
        <f>'Estados Financieros'!D133</f>
        <v>0</v>
      </c>
      <c r="D17" s="259">
        <f>'Estados Financieros'!E133</f>
        <v>0</v>
      </c>
      <c r="E17" s="259">
        <f>'Estados Financieros'!F133</f>
        <v>0</v>
      </c>
      <c r="F17" s="598">
        <f>'Estados Financieros'!G133</f>
        <v>0</v>
      </c>
      <c r="G17" s="260">
        <f>'Estados Financieros'!H133</f>
        <v>1276.5730000000001</v>
      </c>
      <c r="H17" s="260">
        <f>'Estados Financieros'!I133</f>
        <v>283</v>
      </c>
      <c r="I17" s="260">
        <f>'Estados Financieros'!J133</f>
        <v>0</v>
      </c>
      <c r="J17" s="606"/>
    </row>
    <row r="18" spans="1:11" s="64" customFormat="1">
      <c r="A18" s="262" t="s">
        <v>426</v>
      </c>
      <c r="B18" s="259">
        <f>+B17-'Estados Financieros'!B133</f>
        <v>0</v>
      </c>
      <c r="C18" s="259">
        <f>+C17-B17</f>
        <v>0</v>
      </c>
      <c r="D18" s="259">
        <f t="shared" ref="D18:I18" si="7">+D17-C17</f>
        <v>0</v>
      </c>
      <c r="E18" s="259">
        <f t="shared" si="7"/>
        <v>0</v>
      </c>
      <c r="F18" s="259">
        <f t="shared" si="7"/>
        <v>0</v>
      </c>
      <c r="G18" s="259">
        <f t="shared" si="7"/>
        <v>1276.5730000000001</v>
      </c>
      <c r="H18" s="259">
        <f t="shared" si="7"/>
        <v>-993.57300000000009</v>
      </c>
      <c r="I18" s="259">
        <f t="shared" si="7"/>
        <v>-283</v>
      </c>
      <c r="J18" s="606"/>
      <c r="K18" s="86"/>
    </row>
    <row r="19" spans="1:11">
      <c r="A19" s="262" t="s">
        <v>425</v>
      </c>
      <c r="B19" s="259">
        <f>+(B17+'Estados Financieros'!B133/2)</f>
        <v>0</v>
      </c>
      <c r="C19" s="360">
        <f t="shared" ref="C19:I19" si="8">(C17+B17)/2</f>
        <v>0</v>
      </c>
      <c r="D19" s="360">
        <f t="shared" si="8"/>
        <v>0</v>
      </c>
      <c r="E19" s="360">
        <f t="shared" si="8"/>
        <v>0</v>
      </c>
      <c r="F19" s="601">
        <f t="shared" si="8"/>
        <v>0</v>
      </c>
      <c r="G19" s="361">
        <f t="shared" si="8"/>
        <v>638.28650000000005</v>
      </c>
      <c r="H19" s="601">
        <f t="shared" si="8"/>
        <v>779.78650000000005</v>
      </c>
      <c r="I19" s="361">
        <f t="shared" si="8"/>
        <v>141.5</v>
      </c>
      <c r="J19" s="608"/>
    </row>
    <row r="20" spans="1:11" ht="15.75" thickBot="1">
      <c r="A20" s="271" t="s">
        <v>440</v>
      </c>
      <c r="B20" s="658">
        <f>+IFERROR(B16/B19,0)</f>
        <v>0</v>
      </c>
      <c r="C20" s="658">
        <f t="shared" ref="C20:I20" si="9">+IFERROR(C16/C19,0)</f>
        <v>0</v>
      </c>
      <c r="D20" s="658">
        <f t="shared" si="9"/>
        <v>0</v>
      </c>
      <c r="E20" s="658">
        <f t="shared" si="9"/>
        <v>0</v>
      </c>
      <c r="F20" s="658">
        <f t="shared" si="9"/>
        <v>0</v>
      </c>
      <c r="G20" s="658">
        <f t="shared" si="9"/>
        <v>3.9167364498544147E-2</v>
      </c>
      <c r="H20" s="658">
        <f t="shared" si="9"/>
        <v>3.8472068957336398E-3</v>
      </c>
      <c r="I20" s="658">
        <f t="shared" si="9"/>
        <v>1.4134275618374558E-2</v>
      </c>
      <c r="J20" s="609"/>
    </row>
    <row r="21" spans="1:11" ht="15.75" thickTop="1"/>
  </sheetData>
  <pageMargins left="0.7" right="0.7" top="0.75" bottom="0.75" header="0.3" footer="0.3"/>
  <pageSetup orientation="portrait"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zoomScale="93" zoomScaleNormal="93" workbookViewId="0">
      <pane xSplit="1" ySplit="2" topLeftCell="B8" activePane="bottomRight" state="frozen"/>
      <selection activeCell="J50" sqref="J50"/>
      <selection pane="topRight" activeCell="J50" sqref="J50"/>
      <selection pane="bottomLeft" activeCell="J50" sqref="J50"/>
      <selection pane="bottomRight" activeCell="C26" sqref="C26"/>
    </sheetView>
  </sheetViews>
  <sheetFormatPr baseColWidth="10" defaultRowHeight="15"/>
  <cols>
    <col min="1" max="1" width="40.5703125" customWidth="1"/>
    <col min="2" max="4" width="11.42578125" customWidth="1"/>
    <col min="10" max="11" width="13.85546875" bestFit="1" customWidth="1"/>
  </cols>
  <sheetData>
    <row r="1" spans="1:14" ht="15.75" thickBot="1">
      <c r="B1" s="778"/>
      <c r="C1" s="778"/>
      <c r="D1" s="778"/>
      <c r="E1" s="1576" t="s">
        <v>369</v>
      </c>
      <c r="F1" s="1577"/>
      <c r="G1" s="1577"/>
      <c r="H1" s="1577"/>
      <c r="I1" s="1577"/>
    </row>
    <row r="2" spans="1:14" ht="15.75" thickTop="1">
      <c r="A2" s="152" t="s">
        <v>368</v>
      </c>
      <c r="B2" s="171">
        <v>2007</v>
      </c>
      <c r="C2" s="171">
        <v>2008</v>
      </c>
      <c r="D2" s="171">
        <v>2009</v>
      </c>
      <c r="E2" s="171">
        <v>2010</v>
      </c>
      <c r="F2" s="614">
        <v>2011</v>
      </c>
      <c r="G2" s="614">
        <v>2012</v>
      </c>
      <c r="H2" s="614">
        <v>2013</v>
      </c>
      <c r="I2" s="612">
        <v>2014</v>
      </c>
    </row>
    <row r="3" spans="1:14">
      <c r="A3" s="167" t="s">
        <v>367</v>
      </c>
      <c r="B3" s="75"/>
      <c r="C3" s="75"/>
      <c r="D3" s="75"/>
      <c r="E3" s="75"/>
      <c r="F3" s="610"/>
      <c r="G3" s="610"/>
      <c r="H3" s="610"/>
      <c r="I3" s="613"/>
    </row>
    <row r="4" spans="1:14">
      <c r="A4" s="157" t="s">
        <v>366</v>
      </c>
      <c r="B4" s="112">
        <v>142873</v>
      </c>
      <c r="C4" s="112">
        <v>155626</v>
      </c>
      <c r="D4" s="112">
        <v>153732</v>
      </c>
      <c r="E4" s="112">
        <v>216192</v>
      </c>
      <c r="F4" s="581">
        <v>182532</v>
      </c>
      <c r="G4" s="581">
        <v>164813</v>
      </c>
      <c r="H4" s="581">
        <v>251768</v>
      </c>
      <c r="I4" s="286">
        <v>222001</v>
      </c>
    </row>
    <row r="5" spans="1:14">
      <c r="A5" s="157" t="s">
        <v>365</v>
      </c>
      <c r="B5" s="112">
        <v>41544</v>
      </c>
      <c r="C5" s="112">
        <v>43697</v>
      </c>
      <c r="D5" s="112">
        <v>70050</v>
      </c>
      <c r="E5" s="112">
        <v>59772</v>
      </c>
      <c r="F5" s="581">
        <v>78338</v>
      </c>
      <c r="G5" s="581">
        <v>60998</v>
      </c>
      <c r="H5" s="581">
        <v>89819</v>
      </c>
      <c r="I5" s="286">
        <v>86498</v>
      </c>
    </row>
    <row r="6" spans="1:14">
      <c r="A6" s="157" t="s">
        <v>364</v>
      </c>
      <c r="B6" s="112">
        <v>792862</v>
      </c>
      <c r="C6" s="112">
        <v>785617</v>
      </c>
      <c r="D6" s="112">
        <v>850519</v>
      </c>
      <c r="E6" s="112">
        <v>847619</v>
      </c>
      <c r="F6" s="581">
        <v>1091289</v>
      </c>
      <c r="G6" s="581">
        <v>1201722</v>
      </c>
      <c r="H6" s="581">
        <v>1199464</v>
      </c>
      <c r="I6" s="286">
        <v>1364717</v>
      </c>
    </row>
    <row r="7" spans="1:14">
      <c r="A7" s="157" t="s">
        <v>363</v>
      </c>
      <c r="B7" s="112">
        <v>3431</v>
      </c>
      <c r="C7" s="112">
        <v>8706</v>
      </c>
      <c r="D7" s="112">
        <v>11512</v>
      </c>
      <c r="E7" s="112">
        <v>13018</v>
      </c>
      <c r="F7" s="581">
        <v>16289</v>
      </c>
      <c r="G7" s="581">
        <v>14542</v>
      </c>
      <c r="H7" s="581">
        <v>15814</v>
      </c>
      <c r="I7" s="286">
        <v>17576</v>
      </c>
    </row>
    <row r="8" spans="1:14">
      <c r="A8" s="157" t="s">
        <v>362</v>
      </c>
      <c r="B8" s="112">
        <v>9851</v>
      </c>
      <c r="C8" s="112">
        <v>10875</v>
      </c>
      <c r="D8" s="112">
        <v>14308</v>
      </c>
      <c r="E8" s="112">
        <v>13516</v>
      </c>
      <c r="F8" s="581">
        <v>15270</v>
      </c>
      <c r="G8" s="581">
        <v>14981</v>
      </c>
      <c r="H8" s="581">
        <v>18016</v>
      </c>
      <c r="I8" s="286">
        <v>21979</v>
      </c>
    </row>
    <row r="9" spans="1:14">
      <c r="A9" s="157" t="s">
        <v>361</v>
      </c>
      <c r="B9" s="112">
        <v>786442</v>
      </c>
      <c r="C9" s="112">
        <v>783448</v>
      </c>
      <c r="D9" s="112">
        <v>847723</v>
      </c>
      <c r="E9" s="112">
        <v>847121</v>
      </c>
      <c r="F9" s="581">
        <v>1092308</v>
      </c>
      <c r="G9" s="581">
        <v>1201282</v>
      </c>
      <c r="H9" s="581">
        <v>1197262</v>
      </c>
      <c r="I9" s="286">
        <v>1360313</v>
      </c>
    </row>
    <row r="10" spans="1:14">
      <c r="A10" s="157" t="s">
        <v>25</v>
      </c>
      <c r="B10" s="112">
        <v>29418</v>
      </c>
      <c r="C10" s="112">
        <v>21070</v>
      </c>
      <c r="D10" s="112">
        <v>26019</v>
      </c>
      <c r="E10" s="112">
        <v>21542</v>
      </c>
      <c r="F10" s="581">
        <v>33153</v>
      </c>
      <c r="G10" s="581">
        <v>32201</v>
      </c>
      <c r="H10" s="581">
        <v>29313</v>
      </c>
      <c r="I10" s="286">
        <v>29898</v>
      </c>
    </row>
    <row r="11" spans="1:14">
      <c r="A11" s="157" t="s">
        <v>360</v>
      </c>
      <c r="B11" s="112">
        <v>76436</v>
      </c>
      <c r="C11" s="112">
        <v>86078</v>
      </c>
      <c r="D11" s="112">
        <v>72481</v>
      </c>
      <c r="E11" s="112">
        <v>71729</v>
      </c>
      <c r="F11" s="581">
        <v>85607</v>
      </c>
      <c r="G11" s="581">
        <v>102791</v>
      </c>
      <c r="H11" s="581">
        <v>113139</v>
      </c>
      <c r="I11" s="286">
        <v>143141</v>
      </c>
    </row>
    <row r="12" spans="1:14">
      <c r="A12" s="157" t="s">
        <v>359</v>
      </c>
      <c r="B12" s="112">
        <v>231028</v>
      </c>
      <c r="C12" s="112">
        <v>249026</v>
      </c>
      <c r="D12" s="112">
        <v>213410</v>
      </c>
      <c r="E12" s="112">
        <v>188169</v>
      </c>
      <c r="F12" s="581">
        <v>202403</v>
      </c>
      <c r="G12" s="581">
        <v>249456</v>
      </c>
      <c r="H12" s="581">
        <v>345470</v>
      </c>
      <c r="I12" s="286">
        <v>317883</v>
      </c>
    </row>
    <row r="13" spans="1:14">
      <c r="A13" s="157" t="s">
        <v>351</v>
      </c>
      <c r="B13" s="112">
        <v>16742</v>
      </c>
      <c r="C13" s="112">
        <v>17449</v>
      </c>
      <c r="D13" s="112">
        <v>23787</v>
      </c>
      <c r="E13" s="112">
        <v>21441</v>
      </c>
      <c r="F13" s="581">
        <v>22270</v>
      </c>
      <c r="G13" s="581">
        <v>33300</v>
      </c>
      <c r="H13" s="581">
        <v>35954</v>
      </c>
      <c r="I13" s="286">
        <v>22878</v>
      </c>
    </row>
    <row r="14" spans="1:14">
      <c r="A14" s="128" t="s">
        <v>358</v>
      </c>
      <c r="B14" s="111">
        <f t="shared" ref="B14:H14" si="0">SUM(B4:B5,B9:B13)</f>
        <v>1324483</v>
      </c>
      <c r="C14" s="111">
        <f t="shared" si="0"/>
        <v>1356394</v>
      </c>
      <c r="D14" s="111">
        <f t="shared" si="0"/>
        <v>1407202</v>
      </c>
      <c r="E14" s="111">
        <v>1439230</v>
      </c>
      <c r="F14" s="584">
        <f t="shared" si="0"/>
        <v>1696611</v>
      </c>
      <c r="G14" s="584">
        <f t="shared" si="0"/>
        <v>1844841</v>
      </c>
      <c r="H14" s="584">
        <f t="shared" si="0"/>
        <v>2062725</v>
      </c>
      <c r="I14" s="615">
        <f>SUM(I4:I5,I9:I13)</f>
        <v>2182612</v>
      </c>
      <c r="J14" s="752"/>
      <c r="K14" s="752"/>
    </row>
    <row r="15" spans="1:14">
      <c r="A15" s="128" t="s">
        <v>357</v>
      </c>
      <c r="B15" s="112"/>
      <c r="C15" s="112"/>
      <c r="D15" s="112"/>
      <c r="E15" s="112"/>
      <c r="F15" s="581"/>
      <c r="G15" s="581"/>
      <c r="H15" s="581"/>
      <c r="I15" s="286"/>
      <c r="J15" s="62"/>
      <c r="K15" s="62"/>
      <c r="L15" s="62"/>
      <c r="M15" s="62"/>
      <c r="N15" s="62"/>
    </row>
    <row r="16" spans="1:14">
      <c r="A16" s="157" t="s">
        <v>356</v>
      </c>
      <c r="B16" s="112">
        <v>131967</v>
      </c>
      <c r="C16" s="112">
        <v>122078</v>
      </c>
      <c r="D16" s="112">
        <v>135523</v>
      </c>
      <c r="E16" s="112">
        <v>132411</v>
      </c>
      <c r="F16" s="581">
        <v>138854</v>
      </c>
      <c r="G16" s="581">
        <v>134514</v>
      </c>
      <c r="H16" s="581">
        <v>177720</v>
      </c>
      <c r="I16" s="286">
        <v>165180</v>
      </c>
    </row>
    <row r="17" spans="1:14">
      <c r="A17" s="157" t="s">
        <v>355</v>
      </c>
      <c r="B17" s="112">
        <v>36329</v>
      </c>
      <c r="C17" s="112">
        <v>51075</v>
      </c>
      <c r="D17" s="112">
        <v>63367</v>
      </c>
      <c r="E17" s="112">
        <v>88284</v>
      </c>
      <c r="F17" s="581">
        <v>90786</v>
      </c>
      <c r="G17" s="581">
        <v>87511</v>
      </c>
      <c r="H17" s="581">
        <v>76505</v>
      </c>
      <c r="I17" s="286">
        <v>85272</v>
      </c>
    </row>
    <row r="18" spans="1:14">
      <c r="A18" s="157" t="s">
        <v>354</v>
      </c>
      <c r="B18" s="112">
        <v>123325</v>
      </c>
      <c r="C18" s="112">
        <v>138921</v>
      </c>
      <c r="D18" s="112">
        <v>159161</v>
      </c>
      <c r="E18" s="112">
        <v>150635</v>
      </c>
      <c r="F18" s="581">
        <v>199077</v>
      </c>
      <c r="G18" s="581">
        <v>258033</v>
      </c>
      <c r="H18" s="581">
        <v>214327</v>
      </c>
      <c r="I18" s="286">
        <v>223918</v>
      </c>
    </row>
    <row r="19" spans="1:14">
      <c r="A19" s="157" t="s">
        <v>353</v>
      </c>
      <c r="B19" s="112">
        <v>21794</v>
      </c>
      <c r="C19" s="112">
        <v>25701</v>
      </c>
      <c r="D19" s="112">
        <v>86561</v>
      </c>
      <c r="E19" s="112">
        <v>75742</v>
      </c>
      <c r="F19" s="581">
        <v>94485</v>
      </c>
      <c r="G19" s="581">
        <v>44550</v>
      </c>
      <c r="H19" s="581">
        <v>36382</v>
      </c>
      <c r="I19" s="286">
        <v>50809</v>
      </c>
    </row>
    <row r="20" spans="1:14">
      <c r="A20" s="157" t="s">
        <v>352</v>
      </c>
      <c r="B20" s="112">
        <v>105739</v>
      </c>
      <c r="C20" s="112">
        <v>192612</v>
      </c>
      <c r="D20" s="112">
        <v>233784</v>
      </c>
      <c r="E20" s="112">
        <v>267945</v>
      </c>
      <c r="F20" s="581">
        <v>362923</v>
      </c>
      <c r="G20" s="581">
        <v>399237</v>
      </c>
      <c r="H20" s="581">
        <v>496321</v>
      </c>
      <c r="I20" s="286">
        <v>570798</v>
      </c>
    </row>
    <row r="21" spans="1:14">
      <c r="A21" s="157" t="s">
        <v>351</v>
      </c>
      <c r="B21" s="112">
        <v>17103</v>
      </c>
      <c r="C21" s="112">
        <v>13071</v>
      </c>
      <c r="D21" s="112">
        <v>9910</v>
      </c>
      <c r="E21" s="112">
        <v>9238</v>
      </c>
      <c r="F21" s="581">
        <v>17791</v>
      </c>
      <c r="G21" s="581">
        <v>15701</v>
      </c>
      <c r="H21" s="581">
        <v>24652</v>
      </c>
      <c r="I21" s="286">
        <v>29989</v>
      </c>
    </row>
    <row r="22" spans="1:14">
      <c r="A22" s="157" t="s">
        <v>350</v>
      </c>
      <c r="B22" s="112">
        <v>1407</v>
      </c>
      <c r="C22" s="112">
        <v>1066</v>
      </c>
      <c r="D22" s="112">
        <v>2753</v>
      </c>
      <c r="E22" s="112">
        <v>2997</v>
      </c>
      <c r="F22" s="581">
        <v>2312</v>
      </c>
      <c r="G22" s="581">
        <v>1638</v>
      </c>
      <c r="H22" s="581">
        <v>2708</v>
      </c>
      <c r="I22" s="286">
        <v>1944</v>
      </c>
    </row>
    <row r="23" spans="1:14">
      <c r="A23" s="157" t="s">
        <v>349</v>
      </c>
      <c r="B23" s="112">
        <v>244059</v>
      </c>
      <c r="C23" s="112">
        <v>249548</v>
      </c>
      <c r="D23" s="112">
        <v>301644</v>
      </c>
      <c r="E23" s="112">
        <v>251853</v>
      </c>
      <c r="F23" s="581">
        <v>327768</v>
      </c>
      <c r="G23" s="581">
        <v>337871</v>
      </c>
      <c r="H23" s="581">
        <v>350959</v>
      </c>
      <c r="I23" s="286">
        <v>369757</v>
      </c>
    </row>
    <row r="24" spans="1:14">
      <c r="A24" s="128" t="s">
        <v>348</v>
      </c>
      <c r="B24" s="111">
        <f t="shared" ref="B24:H24" si="1">SUM(B16:B23)</f>
        <v>681723</v>
      </c>
      <c r="C24" s="111">
        <f t="shared" si="1"/>
        <v>794072</v>
      </c>
      <c r="D24" s="111">
        <f t="shared" si="1"/>
        <v>992703</v>
      </c>
      <c r="E24" s="111">
        <v>979104</v>
      </c>
      <c r="F24" s="584">
        <f t="shared" si="1"/>
        <v>1233996</v>
      </c>
      <c r="G24" s="584">
        <f t="shared" si="1"/>
        <v>1279055</v>
      </c>
      <c r="H24" s="584">
        <f t="shared" si="1"/>
        <v>1379574</v>
      </c>
      <c r="I24" s="615">
        <f>SUM(I16:I23)</f>
        <v>1497667</v>
      </c>
    </row>
    <row r="25" spans="1:14">
      <c r="A25" s="128" t="s">
        <v>347</v>
      </c>
      <c r="B25" s="112"/>
      <c r="C25" s="112"/>
      <c r="D25" s="112"/>
      <c r="E25" s="112"/>
      <c r="F25" s="581"/>
      <c r="G25" s="581"/>
      <c r="H25" s="581"/>
      <c r="I25" s="286"/>
      <c r="J25" s="62"/>
      <c r="K25" s="62"/>
      <c r="L25" s="62"/>
      <c r="M25" s="62"/>
      <c r="N25" s="62"/>
    </row>
    <row r="26" spans="1:14">
      <c r="A26" s="128" t="s">
        <v>346</v>
      </c>
      <c r="B26" s="111">
        <f t="shared" ref="B26:H26" si="2">+B14+B24</f>
        <v>2006206</v>
      </c>
      <c r="C26" s="111">
        <f t="shared" si="2"/>
        <v>2150466</v>
      </c>
      <c r="D26" s="111">
        <f t="shared" si="2"/>
        <v>2399905</v>
      </c>
      <c r="E26" s="111">
        <f>+E14+E24</f>
        <v>2418334</v>
      </c>
      <c r="F26" s="584">
        <f t="shared" si="2"/>
        <v>2930607</v>
      </c>
      <c r="G26" s="584">
        <f t="shared" si="2"/>
        <v>3123896</v>
      </c>
      <c r="H26" s="584">
        <f t="shared" si="2"/>
        <v>3442299</v>
      </c>
      <c r="I26" s="615">
        <f>+I14+I24</f>
        <v>3680279</v>
      </c>
    </row>
    <row r="27" spans="1:14">
      <c r="A27" s="128" t="s">
        <v>32</v>
      </c>
      <c r="B27" s="112"/>
      <c r="C27" s="112"/>
      <c r="D27" s="112"/>
      <c r="E27" s="112"/>
      <c r="F27" s="581"/>
      <c r="G27" s="581"/>
      <c r="H27" s="581"/>
      <c r="I27" s="286"/>
      <c r="J27" s="62"/>
      <c r="K27" s="62"/>
      <c r="L27" s="62"/>
      <c r="M27" s="62"/>
      <c r="N27" s="62"/>
    </row>
    <row r="28" spans="1:14">
      <c r="A28" s="157" t="s">
        <v>345</v>
      </c>
      <c r="B28" s="112">
        <v>280410</v>
      </c>
      <c r="C28" s="112">
        <v>418011</v>
      </c>
      <c r="D28" s="112">
        <v>362443</v>
      </c>
      <c r="E28" s="112">
        <v>378853</v>
      </c>
      <c r="F28" s="581">
        <v>476597</v>
      </c>
      <c r="G28" s="581">
        <v>517866</v>
      </c>
      <c r="H28" s="581">
        <v>408521</v>
      </c>
      <c r="I28" s="286">
        <v>528133</v>
      </c>
    </row>
    <row r="29" spans="1:14">
      <c r="A29" s="157" t="s">
        <v>344</v>
      </c>
      <c r="B29" s="112">
        <v>0</v>
      </c>
      <c r="C29" s="112"/>
      <c r="D29" s="112"/>
      <c r="E29" s="112"/>
      <c r="F29" s="581"/>
      <c r="G29" s="581"/>
      <c r="H29" s="581"/>
      <c r="I29" s="286"/>
      <c r="K29" s="64"/>
      <c r="L29" s="64"/>
    </row>
    <row r="30" spans="1:14">
      <c r="A30" s="157" t="s">
        <v>343</v>
      </c>
      <c r="B30" s="112">
        <v>164553</v>
      </c>
      <c r="C30" s="112">
        <v>103779</v>
      </c>
      <c r="D30" s="112">
        <v>106994</v>
      </c>
      <c r="E30" s="112">
        <v>80099</v>
      </c>
      <c r="F30" s="581">
        <v>140352</v>
      </c>
      <c r="G30" s="581">
        <v>134478</v>
      </c>
      <c r="H30" s="581">
        <v>146884</v>
      </c>
      <c r="I30" s="286">
        <v>155948</v>
      </c>
    </row>
    <row r="31" spans="1:14">
      <c r="A31" s="157" t="s">
        <v>342</v>
      </c>
      <c r="B31" s="112">
        <v>182918</v>
      </c>
      <c r="C31" s="112">
        <v>175560</v>
      </c>
      <c r="D31" s="112">
        <v>210358</v>
      </c>
      <c r="E31" s="112">
        <v>219387</v>
      </c>
      <c r="F31" s="581">
        <v>257603</v>
      </c>
      <c r="G31" s="581">
        <v>272548</v>
      </c>
      <c r="H31" s="581">
        <v>294390</v>
      </c>
      <c r="I31" s="286">
        <v>356478</v>
      </c>
    </row>
    <row r="32" spans="1:14">
      <c r="A32" s="157" t="s">
        <v>341</v>
      </c>
      <c r="B32" s="112">
        <v>52349</v>
      </c>
      <c r="C32" s="112">
        <v>49125</v>
      </c>
      <c r="D32" s="112">
        <v>50693</v>
      </c>
      <c r="E32" s="112">
        <v>48923</v>
      </c>
      <c r="F32" s="581">
        <v>66393</v>
      </c>
      <c r="G32" s="581">
        <v>62977</v>
      </c>
      <c r="H32" s="581">
        <v>77639</v>
      </c>
      <c r="I32" s="286">
        <v>86438</v>
      </c>
    </row>
    <row r="33" spans="1:14">
      <c r="A33" s="157" t="s">
        <v>340</v>
      </c>
      <c r="B33" s="112">
        <v>70876</v>
      </c>
      <c r="C33" s="112">
        <v>75214</v>
      </c>
      <c r="D33" s="112">
        <v>86090</v>
      </c>
      <c r="E33" s="112">
        <v>87648</v>
      </c>
      <c r="F33" s="581">
        <v>97530</v>
      </c>
      <c r="G33" s="581">
        <v>111811</v>
      </c>
      <c r="H33" s="581">
        <v>119032</v>
      </c>
      <c r="I33" s="286">
        <v>135374</v>
      </c>
    </row>
    <row r="34" spans="1:14">
      <c r="A34" s="157" t="s">
        <v>339</v>
      </c>
      <c r="B34" s="112">
        <v>60852</v>
      </c>
      <c r="C34" s="112">
        <v>53991</v>
      </c>
      <c r="D34" s="112">
        <v>47026</v>
      </c>
      <c r="E34" s="112">
        <v>47584</v>
      </c>
      <c r="F34" s="581">
        <v>50547</v>
      </c>
      <c r="G34" s="581">
        <v>56623</v>
      </c>
      <c r="H34" s="581">
        <v>62137</v>
      </c>
      <c r="I34" s="286">
        <v>71320</v>
      </c>
    </row>
    <row r="35" spans="1:14">
      <c r="A35" s="157" t="s">
        <v>338</v>
      </c>
      <c r="B35" s="112">
        <v>5557</v>
      </c>
      <c r="C35" s="112">
        <v>3757</v>
      </c>
      <c r="D35" s="112">
        <v>20983</v>
      </c>
      <c r="E35" s="112">
        <v>16975</v>
      </c>
      <c r="F35" s="581">
        <v>10597</v>
      </c>
      <c r="G35" s="581">
        <v>20058</v>
      </c>
      <c r="H35" s="581">
        <v>28168</v>
      </c>
      <c r="I35" s="286">
        <v>16656</v>
      </c>
    </row>
    <row r="36" spans="1:14">
      <c r="A36" s="157" t="s">
        <v>337</v>
      </c>
      <c r="B36" s="112">
        <v>114118</v>
      </c>
      <c r="C36" s="112">
        <v>108756</v>
      </c>
      <c r="D36" s="112">
        <v>121785</v>
      </c>
      <c r="E36" s="112">
        <v>138470</v>
      </c>
      <c r="F36" s="581">
        <v>193298</v>
      </c>
      <c r="G36" s="581">
        <v>208109</v>
      </c>
      <c r="H36" s="581">
        <v>204034</v>
      </c>
      <c r="I36" s="286">
        <v>177744</v>
      </c>
    </row>
    <row r="37" spans="1:14">
      <c r="A37" s="128" t="s">
        <v>336</v>
      </c>
      <c r="B37" s="111">
        <f>SUM(B28:B36)</f>
        <v>931633</v>
      </c>
      <c r="C37" s="111">
        <f>SUM(C28:C36)</f>
        <v>988193</v>
      </c>
      <c r="D37" s="111">
        <f>SUM(D28:D36)</f>
        <v>1006372</v>
      </c>
      <c r="E37" s="111">
        <v>1023749</v>
      </c>
      <c r="F37" s="584">
        <f>SUM(F28:F36)</f>
        <v>1292917</v>
      </c>
      <c r="G37" s="584">
        <f>SUM(G28:G36)</f>
        <v>1384470</v>
      </c>
      <c r="H37" s="584">
        <f>SUM(H28:H36)</f>
        <v>1340805</v>
      </c>
      <c r="I37" s="615">
        <f>SUM(I28:I36)</f>
        <v>1528091</v>
      </c>
    </row>
    <row r="38" spans="1:14">
      <c r="A38" s="128" t="s">
        <v>335</v>
      </c>
      <c r="B38" s="112"/>
      <c r="C38" s="112"/>
      <c r="D38" s="112"/>
      <c r="E38" s="112"/>
      <c r="F38" s="581"/>
      <c r="G38" s="581"/>
      <c r="H38" s="581"/>
      <c r="I38" s="286"/>
      <c r="J38" s="62"/>
      <c r="K38" s="62"/>
      <c r="L38" s="62"/>
      <c r="M38" s="62"/>
      <c r="N38" s="62"/>
    </row>
    <row r="39" spans="1:14">
      <c r="A39" s="157" t="s">
        <v>334</v>
      </c>
      <c r="B39" s="112">
        <v>124075</v>
      </c>
      <c r="C39" s="112">
        <v>102849</v>
      </c>
      <c r="D39" s="112">
        <v>157402</v>
      </c>
      <c r="E39" s="112">
        <v>184086</v>
      </c>
      <c r="F39" s="581">
        <v>179884</v>
      </c>
      <c r="G39" s="581">
        <v>191800</v>
      </c>
      <c r="H39" s="581">
        <v>380832</v>
      </c>
      <c r="I39" s="286">
        <v>385818</v>
      </c>
    </row>
    <row r="40" spans="1:14">
      <c r="A40" s="157" t="s">
        <v>333</v>
      </c>
      <c r="B40" s="112">
        <v>0</v>
      </c>
      <c r="C40" s="112"/>
      <c r="D40" s="112"/>
      <c r="E40" s="112"/>
      <c r="F40" s="581"/>
      <c r="G40" s="581"/>
      <c r="H40" s="581"/>
      <c r="I40" s="286"/>
      <c r="K40" s="64"/>
      <c r="L40" s="64"/>
    </row>
    <row r="41" spans="1:14">
      <c r="A41" s="157" t="s">
        <v>332</v>
      </c>
      <c r="B41" s="112">
        <v>1210</v>
      </c>
      <c r="C41" s="112">
        <v>1245</v>
      </c>
      <c r="D41" s="112">
        <v>804</v>
      </c>
      <c r="E41" s="112">
        <v>2892</v>
      </c>
      <c r="F41" s="581">
        <v>7989</v>
      </c>
      <c r="G41" s="581">
        <v>10253</v>
      </c>
      <c r="H41" s="581">
        <v>7748</v>
      </c>
      <c r="I41" s="286">
        <v>4341</v>
      </c>
    </row>
    <row r="42" spans="1:14">
      <c r="A42" s="157" t="s">
        <v>331</v>
      </c>
      <c r="B42" s="112">
        <v>32532</v>
      </c>
      <c r="C42" s="112">
        <v>47540</v>
      </c>
      <c r="D42" s="112">
        <v>69380</v>
      </c>
      <c r="E42" s="112">
        <v>95464</v>
      </c>
      <c r="F42" s="581">
        <v>131710</v>
      </c>
      <c r="G42" s="581">
        <v>159969</v>
      </c>
      <c r="H42" s="581">
        <v>191173</v>
      </c>
      <c r="I42" s="286">
        <v>221883</v>
      </c>
    </row>
    <row r="43" spans="1:14">
      <c r="A43" s="157" t="s">
        <v>330</v>
      </c>
      <c r="B43" s="112">
        <v>307</v>
      </c>
      <c r="C43" s="112">
        <v>444</v>
      </c>
      <c r="D43" s="112">
        <v>143</v>
      </c>
      <c r="E43" s="112">
        <v>408</v>
      </c>
      <c r="F43" s="581">
        <v>1035</v>
      </c>
      <c r="G43" s="581">
        <v>2106</v>
      </c>
      <c r="H43" s="581">
        <v>1095</v>
      </c>
      <c r="I43" s="286">
        <v>2398</v>
      </c>
    </row>
    <row r="44" spans="1:14">
      <c r="A44" s="157" t="s">
        <v>329</v>
      </c>
      <c r="B44" s="112">
        <v>2622</v>
      </c>
      <c r="C44" s="112">
        <v>4729</v>
      </c>
      <c r="D44" s="112">
        <v>3928</v>
      </c>
      <c r="E44" s="112">
        <v>927</v>
      </c>
      <c r="F44" s="581">
        <v>8755</v>
      </c>
      <c r="G44" s="581">
        <v>8298</v>
      </c>
      <c r="H44" s="581">
        <v>8392</v>
      </c>
      <c r="I44" s="286">
        <v>9562</v>
      </c>
    </row>
    <row r="45" spans="1:14">
      <c r="A45" s="157" t="s">
        <v>328</v>
      </c>
      <c r="B45" s="112">
        <v>10147</v>
      </c>
      <c r="C45" s="112">
        <v>15473</v>
      </c>
      <c r="D45" s="112">
        <v>9952</v>
      </c>
      <c r="E45" s="112">
        <v>6501</v>
      </c>
      <c r="F45" s="581">
        <v>1933</v>
      </c>
      <c r="G45" s="581">
        <v>2022</v>
      </c>
      <c r="H45" s="581">
        <v>6392</v>
      </c>
      <c r="I45" s="286">
        <v>18100</v>
      </c>
    </row>
    <row r="46" spans="1:14">
      <c r="A46" s="157" t="s">
        <v>327</v>
      </c>
      <c r="B46" s="112">
        <v>42446</v>
      </c>
      <c r="C46" s="112">
        <v>54802</v>
      </c>
      <c r="D46" s="112">
        <v>80500</v>
      </c>
      <c r="E46" s="112">
        <v>100149</v>
      </c>
      <c r="F46" s="581">
        <v>89791</v>
      </c>
      <c r="G46" s="581">
        <v>71531</v>
      </c>
      <c r="H46" s="581">
        <v>57160</v>
      </c>
      <c r="I46" s="286">
        <v>52315</v>
      </c>
    </row>
    <row r="47" spans="1:14">
      <c r="A47" s="128" t="s">
        <v>326</v>
      </c>
      <c r="B47" s="111">
        <f t="shared" ref="B47:H47" si="3">SUM(B39:B46)</f>
        <v>213339</v>
      </c>
      <c r="C47" s="111">
        <f t="shared" si="3"/>
        <v>227082</v>
      </c>
      <c r="D47" s="111">
        <f t="shared" si="3"/>
        <v>322109</v>
      </c>
      <c r="E47" s="111">
        <v>392669</v>
      </c>
      <c r="F47" s="584">
        <f t="shared" si="3"/>
        <v>421097</v>
      </c>
      <c r="G47" s="584">
        <f t="shared" si="3"/>
        <v>445979</v>
      </c>
      <c r="H47" s="584">
        <f t="shared" si="3"/>
        <v>652792</v>
      </c>
      <c r="I47" s="615">
        <f>SUM(I39:I46)</f>
        <v>694417</v>
      </c>
    </row>
    <row r="48" spans="1:14">
      <c r="A48" s="128" t="s">
        <v>325</v>
      </c>
      <c r="B48" s="112"/>
      <c r="C48" s="112"/>
      <c r="D48" s="112"/>
      <c r="E48" s="112"/>
      <c r="F48" s="581"/>
      <c r="G48" s="581"/>
      <c r="H48" s="581"/>
      <c r="I48" s="286"/>
      <c r="J48" s="62"/>
      <c r="K48" s="62"/>
      <c r="L48" s="62"/>
      <c r="M48" s="62"/>
      <c r="N48" s="62"/>
    </row>
    <row r="49" spans="1:14">
      <c r="A49" s="128" t="s">
        <v>63</v>
      </c>
      <c r="B49" s="111">
        <f t="shared" ref="B49:H49" si="4">+B37+B47</f>
        <v>1144972</v>
      </c>
      <c r="C49" s="111">
        <f t="shared" si="4"/>
        <v>1215275</v>
      </c>
      <c r="D49" s="111">
        <f t="shared" si="4"/>
        <v>1328481</v>
      </c>
      <c r="E49" s="111">
        <f t="shared" si="4"/>
        <v>1416418</v>
      </c>
      <c r="F49" s="584">
        <f t="shared" si="4"/>
        <v>1714014</v>
      </c>
      <c r="G49" s="584">
        <f t="shared" si="4"/>
        <v>1830449</v>
      </c>
      <c r="H49" s="584">
        <f t="shared" si="4"/>
        <v>1993597</v>
      </c>
      <c r="I49" s="615">
        <f>+I37+I47</f>
        <v>2222508</v>
      </c>
    </row>
    <row r="50" spans="1:14">
      <c r="A50" s="128" t="s">
        <v>324</v>
      </c>
      <c r="B50" s="112"/>
      <c r="C50" s="112"/>
      <c r="D50" s="112"/>
      <c r="E50" s="112"/>
      <c r="F50" s="581"/>
      <c r="G50" s="581"/>
      <c r="H50" s="581"/>
      <c r="I50" s="286"/>
      <c r="J50" s="62"/>
      <c r="K50" s="62"/>
      <c r="L50" s="62"/>
      <c r="M50" s="62"/>
      <c r="N50" s="62"/>
    </row>
    <row r="51" spans="1:14">
      <c r="A51" s="157" t="s">
        <v>323</v>
      </c>
      <c r="B51" s="112">
        <v>162</v>
      </c>
      <c r="C51" s="112">
        <v>0</v>
      </c>
      <c r="D51" s="112">
        <v>0</v>
      </c>
      <c r="E51" s="112">
        <v>0</v>
      </c>
      <c r="F51" s="581">
        <v>0</v>
      </c>
      <c r="G51" s="581">
        <v>0</v>
      </c>
      <c r="H51" s="581">
        <v>0</v>
      </c>
      <c r="I51" s="286">
        <v>0</v>
      </c>
    </row>
    <row r="52" spans="1:14">
      <c r="A52" s="157" t="s">
        <v>322</v>
      </c>
      <c r="B52" s="112">
        <v>118358</v>
      </c>
      <c r="C52" s="112">
        <v>114461</v>
      </c>
      <c r="D52" s="112">
        <v>115147</v>
      </c>
      <c r="E52" s="112">
        <v>98317</v>
      </c>
      <c r="F52" s="581">
        <v>113921</v>
      </c>
      <c r="G52" s="581">
        <v>124329</v>
      </c>
      <c r="H52" s="581">
        <v>126397</v>
      </c>
      <c r="I52" s="286">
        <v>141588</v>
      </c>
    </row>
    <row r="53" spans="1:14">
      <c r="A53" s="157" t="s">
        <v>321</v>
      </c>
      <c r="B53" s="112">
        <v>60264</v>
      </c>
      <c r="C53" s="112">
        <v>78330</v>
      </c>
      <c r="D53" s="112">
        <v>97463</v>
      </c>
      <c r="E53" s="112">
        <v>92191</v>
      </c>
      <c r="F53" s="581">
        <v>151623</v>
      </c>
      <c r="G53" s="581">
        <v>152490</v>
      </c>
      <c r="H53" s="581">
        <v>153566</v>
      </c>
      <c r="I53" s="286">
        <v>155114</v>
      </c>
    </row>
    <row r="54" spans="1:14">
      <c r="A54" s="157" t="s">
        <v>320</v>
      </c>
      <c r="B54" s="112">
        <v>245920</v>
      </c>
      <c r="C54" s="112">
        <v>252965</v>
      </c>
      <c r="D54" s="112">
        <v>303511</v>
      </c>
      <c r="E54" s="112">
        <v>258402</v>
      </c>
      <c r="F54" s="581">
        <v>335084</v>
      </c>
      <c r="G54" s="581">
        <v>339097</v>
      </c>
      <c r="H54" s="581">
        <v>355715</v>
      </c>
      <c r="I54" s="286">
        <v>372696</v>
      </c>
    </row>
    <row r="55" spans="1:14">
      <c r="A55" s="157" t="s">
        <v>319</v>
      </c>
      <c r="B55" s="112">
        <v>109556</v>
      </c>
      <c r="C55" s="112">
        <v>131880</v>
      </c>
      <c r="D55" s="112">
        <v>157500</v>
      </c>
      <c r="E55" s="112">
        <v>126224</v>
      </c>
      <c r="F55" s="581">
        <v>171190</v>
      </c>
      <c r="G55" s="581">
        <v>207463</v>
      </c>
      <c r="H55" s="581">
        <v>271913</v>
      </c>
      <c r="I55" s="286">
        <v>306114</v>
      </c>
    </row>
    <row r="56" spans="1:14">
      <c r="A56" s="157" t="s">
        <v>318</v>
      </c>
      <c r="B56" s="112">
        <v>190111</v>
      </c>
      <c r="C56" s="112">
        <v>170870</v>
      </c>
      <c r="D56" s="112">
        <v>174945</v>
      </c>
      <c r="E56" s="112">
        <v>151252</v>
      </c>
      <c r="F56" s="581">
        <v>148079</v>
      </c>
      <c r="G56" s="581">
        <v>138011</v>
      </c>
      <c r="H56" s="581">
        <v>134066</v>
      </c>
      <c r="I56" s="286">
        <v>120123</v>
      </c>
    </row>
    <row r="57" spans="1:14">
      <c r="A57" s="157" t="s">
        <v>317</v>
      </c>
      <c r="B57" s="112">
        <v>95093</v>
      </c>
      <c r="C57" s="112">
        <v>122037</v>
      </c>
      <c r="D57" s="112">
        <v>135635</v>
      </c>
      <c r="E57" s="112">
        <v>183677</v>
      </c>
      <c r="F57" s="581">
        <v>175756</v>
      </c>
      <c r="G57" s="581">
        <v>170043</v>
      </c>
      <c r="H57" s="581">
        <v>202000</v>
      </c>
      <c r="I57" s="286">
        <v>136461</v>
      </c>
    </row>
    <row r="58" spans="1:14">
      <c r="A58" s="157" t="s">
        <v>316</v>
      </c>
      <c r="B58" s="112">
        <v>41767</v>
      </c>
      <c r="C58" s="112">
        <v>64646</v>
      </c>
      <c r="D58" s="112">
        <v>87219</v>
      </c>
      <c r="E58" s="112">
        <v>83742</v>
      </c>
      <c r="F58" s="581">
        <v>120937</v>
      </c>
      <c r="G58" s="581">
        <v>162014</v>
      </c>
      <c r="H58" s="581">
        <v>205046</v>
      </c>
      <c r="I58" s="286">
        <v>225677</v>
      </c>
    </row>
    <row r="59" spans="1:14">
      <c r="A59" s="128" t="s">
        <v>315</v>
      </c>
      <c r="B59" s="111">
        <f t="shared" ref="B59:H59" si="5">SUM(B51:B58)</f>
        <v>861231</v>
      </c>
      <c r="C59" s="111">
        <f t="shared" si="5"/>
        <v>935189</v>
      </c>
      <c r="D59" s="111">
        <f t="shared" si="5"/>
        <v>1071420</v>
      </c>
      <c r="E59" s="111">
        <v>1002063</v>
      </c>
      <c r="F59" s="584">
        <f t="shared" si="5"/>
        <v>1216590</v>
      </c>
      <c r="G59" s="584">
        <f t="shared" si="5"/>
        <v>1293447</v>
      </c>
      <c r="H59" s="584">
        <f t="shared" si="5"/>
        <v>1448703</v>
      </c>
      <c r="I59" s="615">
        <f>SUM(I51:I58)</f>
        <v>1457773</v>
      </c>
    </row>
    <row r="60" spans="1:14">
      <c r="A60" s="128" t="s">
        <v>314</v>
      </c>
      <c r="B60" s="112"/>
      <c r="C60" s="112"/>
      <c r="D60" s="112"/>
      <c r="E60" s="112"/>
      <c r="F60" s="581"/>
      <c r="G60" s="581"/>
      <c r="H60" s="581"/>
      <c r="I60" s="286"/>
      <c r="J60" s="62"/>
      <c r="K60" s="62"/>
      <c r="L60" s="62"/>
      <c r="M60" s="62"/>
      <c r="N60" s="62"/>
    </row>
    <row r="61" spans="1:14" ht="15.75" thickBot="1">
      <c r="A61" s="159" t="s">
        <v>313</v>
      </c>
      <c r="B61" s="161">
        <f t="shared" ref="B61:H61" si="6">+B59+B49</f>
        <v>2006203</v>
      </c>
      <c r="C61" s="161">
        <f t="shared" si="6"/>
        <v>2150464</v>
      </c>
      <c r="D61" s="161">
        <f t="shared" si="6"/>
        <v>2399901</v>
      </c>
      <c r="E61" s="161">
        <f>+E59+E49</f>
        <v>2418481</v>
      </c>
      <c r="F61" s="611">
        <f t="shared" si="6"/>
        <v>2930604</v>
      </c>
      <c r="G61" s="611">
        <f t="shared" si="6"/>
        <v>3123896</v>
      </c>
      <c r="H61" s="611">
        <f t="shared" si="6"/>
        <v>3442300</v>
      </c>
      <c r="I61" s="616">
        <f>+I59+I49</f>
        <v>3680281</v>
      </c>
    </row>
    <row r="62" spans="1:14" ht="26.25" thickTop="1">
      <c r="A62" s="76" t="s">
        <v>921</v>
      </c>
      <c r="B62" s="62"/>
      <c r="D62" s="62"/>
      <c r="G62" s="62"/>
      <c r="I62" s="62"/>
      <c r="J62" s="62"/>
      <c r="K62" s="62"/>
      <c r="L62" s="62"/>
      <c r="M62" s="62"/>
      <c r="N62" s="62"/>
    </row>
    <row r="63" spans="1:14" ht="15.75" thickBot="1"/>
    <row r="64" spans="1:14" ht="15.75" thickTop="1">
      <c r="A64" s="627" t="s">
        <v>301</v>
      </c>
      <c r="B64" s="628">
        <f t="shared" ref="B64:G64" si="7">+B10</f>
        <v>29418</v>
      </c>
      <c r="C64" s="628">
        <f t="shared" si="7"/>
        <v>21070</v>
      </c>
      <c r="D64" s="628">
        <f t="shared" si="7"/>
        <v>26019</v>
      </c>
      <c r="E64" s="628">
        <f t="shared" si="7"/>
        <v>21542</v>
      </c>
      <c r="F64" s="629">
        <f t="shared" si="7"/>
        <v>33153</v>
      </c>
      <c r="G64" s="629">
        <f t="shared" si="7"/>
        <v>32201</v>
      </c>
      <c r="H64" s="629">
        <f>+H10</f>
        <v>29313</v>
      </c>
      <c r="I64" s="630">
        <f>+I10</f>
        <v>29898</v>
      </c>
    </row>
    <row r="65" spans="1:12">
      <c r="A65" s="631" t="s">
        <v>302</v>
      </c>
      <c r="B65" s="66">
        <f t="shared" ref="B65:G65" si="8">+B6</f>
        <v>792862</v>
      </c>
      <c r="C65" s="66">
        <f t="shared" si="8"/>
        <v>785617</v>
      </c>
      <c r="D65" s="66">
        <f t="shared" si="8"/>
        <v>850519</v>
      </c>
      <c r="E65" s="66">
        <f t="shared" si="8"/>
        <v>847619</v>
      </c>
      <c r="F65" s="617">
        <f t="shared" si="8"/>
        <v>1091289</v>
      </c>
      <c r="G65" s="617">
        <f t="shared" si="8"/>
        <v>1201722</v>
      </c>
      <c r="H65" s="617">
        <f>+H6</f>
        <v>1199464</v>
      </c>
      <c r="I65" s="632">
        <f>+I6</f>
        <v>1364717</v>
      </c>
    </row>
    <row r="66" spans="1:12">
      <c r="A66" s="631" t="s">
        <v>303</v>
      </c>
      <c r="B66" s="66">
        <f t="shared" ref="B66:G66" si="9">+B30+B31+B32+B33</f>
        <v>470696</v>
      </c>
      <c r="C66" s="66">
        <f t="shared" si="9"/>
        <v>403678</v>
      </c>
      <c r="D66" s="66">
        <f t="shared" si="9"/>
        <v>454135</v>
      </c>
      <c r="E66" s="66">
        <f t="shared" si="9"/>
        <v>436057</v>
      </c>
      <c r="F66" s="617">
        <f t="shared" si="9"/>
        <v>561878</v>
      </c>
      <c r="G66" s="617">
        <f t="shared" si="9"/>
        <v>581814</v>
      </c>
      <c r="H66" s="617">
        <f>+H30+H31+H32+H33</f>
        <v>637945</v>
      </c>
      <c r="I66" s="632">
        <f>+I30+I31+I32+I33</f>
        <v>734238</v>
      </c>
    </row>
    <row r="67" spans="1:12">
      <c r="A67" s="631" t="s">
        <v>86</v>
      </c>
      <c r="B67" s="66">
        <f t="shared" ref="B67:G67" si="10">+B4</f>
        <v>142873</v>
      </c>
      <c r="C67" s="66">
        <f t="shared" si="10"/>
        <v>155626</v>
      </c>
      <c r="D67" s="66">
        <f t="shared" si="10"/>
        <v>153732</v>
      </c>
      <c r="E67" s="66">
        <f t="shared" si="10"/>
        <v>216192</v>
      </c>
      <c r="F67" s="617">
        <f t="shared" si="10"/>
        <v>182532</v>
      </c>
      <c r="G67" s="617">
        <f t="shared" si="10"/>
        <v>164813</v>
      </c>
      <c r="H67" s="617">
        <f>+H4</f>
        <v>251768</v>
      </c>
      <c r="I67" s="632">
        <f>+I4</f>
        <v>222001</v>
      </c>
    </row>
    <row r="68" spans="1:12">
      <c r="A68" s="633" t="s">
        <v>673</v>
      </c>
      <c r="B68" s="66">
        <f t="shared" ref="B68:G68" si="11">+B64+B65-B66+B67</f>
        <v>494457</v>
      </c>
      <c r="C68" s="66">
        <f t="shared" si="11"/>
        <v>558635</v>
      </c>
      <c r="D68" s="66">
        <f t="shared" si="11"/>
        <v>576135</v>
      </c>
      <c r="E68" s="66">
        <f t="shared" si="11"/>
        <v>649296</v>
      </c>
      <c r="F68" s="617">
        <f t="shared" si="11"/>
        <v>745096</v>
      </c>
      <c r="G68" s="617">
        <f t="shared" si="11"/>
        <v>816922</v>
      </c>
      <c r="H68" s="617">
        <f>+H64+H65-H66+H67</f>
        <v>842600</v>
      </c>
      <c r="I68" s="632">
        <f>+I64+I65-I66+I67</f>
        <v>882378</v>
      </c>
    </row>
    <row r="69" spans="1:12" s="64" customFormat="1">
      <c r="A69" s="633" t="s">
        <v>82</v>
      </c>
      <c r="B69" s="531">
        <f t="shared" ref="B69:I69" si="12">+B14-B37+B28</f>
        <v>673260</v>
      </c>
      <c r="C69" s="531">
        <f t="shared" si="12"/>
        <v>786212</v>
      </c>
      <c r="D69" s="531">
        <f t="shared" si="12"/>
        <v>763273</v>
      </c>
      <c r="E69" s="531">
        <f t="shared" si="12"/>
        <v>794334</v>
      </c>
      <c r="F69" s="618">
        <f t="shared" si="12"/>
        <v>880291</v>
      </c>
      <c r="G69" s="618">
        <f t="shared" si="12"/>
        <v>978237</v>
      </c>
      <c r="H69" s="618">
        <f t="shared" si="12"/>
        <v>1130441</v>
      </c>
      <c r="I69" s="634">
        <f t="shared" si="12"/>
        <v>1182654</v>
      </c>
      <c r="K69"/>
      <c r="L69"/>
    </row>
    <row r="70" spans="1:12" ht="15.75" thickBot="1">
      <c r="A70" s="635" t="s">
        <v>300</v>
      </c>
      <c r="B70" s="69">
        <f t="shared" ref="B70:G70" si="13">+B24</f>
        <v>681723</v>
      </c>
      <c r="C70" s="69">
        <f t="shared" si="13"/>
        <v>794072</v>
      </c>
      <c r="D70" s="69">
        <f t="shared" si="13"/>
        <v>992703</v>
      </c>
      <c r="E70" s="69">
        <f t="shared" si="13"/>
        <v>979104</v>
      </c>
      <c r="F70" s="619">
        <f t="shared" si="13"/>
        <v>1233996</v>
      </c>
      <c r="G70" s="619">
        <f t="shared" si="13"/>
        <v>1279055</v>
      </c>
      <c r="H70" s="619">
        <f>+H24</f>
        <v>1379574</v>
      </c>
      <c r="I70" s="636">
        <f>+I24</f>
        <v>1497667</v>
      </c>
    </row>
    <row r="71" spans="1:12" ht="16.5" thickTop="1" thickBot="1">
      <c r="A71" s="637" t="s">
        <v>64</v>
      </c>
      <c r="B71" s="638">
        <f t="shared" ref="B71:I71" si="14">+SUM(B69:B70)</f>
        <v>1354983</v>
      </c>
      <c r="C71" s="638">
        <f t="shared" si="14"/>
        <v>1580284</v>
      </c>
      <c r="D71" s="638">
        <f t="shared" si="14"/>
        <v>1755976</v>
      </c>
      <c r="E71" s="638">
        <f t="shared" si="14"/>
        <v>1773438</v>
      </c>
      <c r="F71" s="639">
        <f t="shared" si="14"/>
        <v>2114287</v>
      </c>
      <c r="G71" s="639">
        <f t="shared" si="14"/>
        <v>2257292</v>
      </c>
      <c r="H71" s="639">
        <f t="shared" si="14"/>
        <v>2510015</v>
      </c>
      <c r="I71" s="640">
        <f t="shared" si="14"/>
        <v>2680321</v>
      </c>
      <c r="K71" s="64"/>
      <c r="L71" s="64"/>
    </row>
    <row r="72" spans="1:12" ht="15.75" thickTop="1"/>
  </sheetData>
  <mergeCells count="1">
    <mergeCell ref="E1:I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zoomScale="120" zoomScaleNormal="120" workbookViewId="0">
      <pane xSplit="1" ySplit="2" topLeftCell="B3" activePane="bottomRight" state="frozen"/>
      <selection activeCell="J50" sqref="J50"/>
      <selection pane="topRight" activeCell="J50" sqref="J50"/>
      <selection pane="bottomLeft" activeCell="J50" sqref="J50"/>
      <selection pane="bottomRight" activeCell="C4" sqref="C4"/>
    </sheetView>
  </sheetViews>
  <sheetFormatPr baseColWidth="10" defaultRowHeight="15"/>
  <cols>
    <col min="1" max="1" width="40.7109375" customWidth="1"/>
    <col min="2" max="4" width="11.42578125" customWidth="1"/>
  </cols>
  <sheetData>
    <row r="1" spans="1:16" ht="15.75" thickBot="1">
      <c r="B1" s="779"/>
      <c r="C1" s="779"/>
      <c r="D1" s="779"/>
      <c r="E1" s="1578" t="s">
        <v>369</v>
      </c>
      <c r="F1" s="1577"/>
      <c r="G1" s="1577"/>
      <c r="H1" s="1577"/>
      <c r="I1" s="1577"/>
    </row>
    <row r="2" spans="1:16" ht="15.75" thickTop="1">
      <c r="A2" s="152" t="s">
        <v>496</v>
      </c>
      <c r="B2" s="171">
        <v>2007</v>
      </c>
      <c r="C2" s="171">
        <v>2008</v>
      </c>
      <c r="D2" s="171">
        <v>2009</v>
      </c>
      <c r="E2" s="171">
        <v>2010</v>
      </c>
      <c r="F2" s="614">
        <v>2011</v>
      </c>
      <c r="G2" s="614">
        <v>2012</v>
      </c>
      <c r="H2" s="614">
        <v>2013</v>
      </c>
      <c r="I2" s="172">
        <v>2014</v>
      </c>
    </row>
    <row r="3" spans="1:16">
      <c r="A3" s="128" t="s">
        <v>65</v>
      </c>
      <c r="B3" s="74"/>
      <c r="C3" s="74"/>
      <c r="D3" s="74"/>
      <c r="E3" s="74"/>
      <c r="F3" s="641"/>
      <c r="G3" s="641"/>
      <c r="H3" s="641"/>
      <c r="I3" s="173"/>
    </row>
    <row r="4" spans="1:16">
      <c r="A4" s="128" t="s">
        <v>66</v>
      </c>
      <c r="B4" s="111">
        <v>2743827</v>
      </c>
      <c r="C4" s="111">
        <v>3042903</v>
      </c>
      <c r="D4" s="111">
        <v>3250863</v>
      </c>
      <c r="E4" s="111">
        <v>3442746</v>
      </c>
      <c r="F4" s="584">
        <v>3910935</v>
      </c>
      <c r="G4" s="584">
        <v>4377953</v>
      </c>
      <c r="H4" s="584">
        <v>4422596</v>
      </c>
      <c r="I4" s="169">
        <v>4678782</v>
      </c>
      <c r="K4" s="757"/>
      <c r="L4" s="757"/>
      <c r="M4" s="757"/>
      <c r="N4" s="757"/>
      <c r="O4" s="757"/>
      <c r="P4" s="757"/>
    </row>
    <row r="5" spans="1:16">
      <c r="A5" s="157" t="s">
        <v>67</v>
      </c>
      <c r="B5" s="112">
        <v>1805423</v>
      </c>
      <c r="C5" s="112">
        <v>2082683</v>
      </c>
      <c r="D5" s="112">
        <v>2277512</v>
      </c>
      <c r="E5" s="112">
        <v>2443076</v>
      </c>
      <c r="F5" s="581">
        <v>2860128</v>
      </c>
      <c r="G5" s="581">
        <v>3247553</v>
      </c>
      <c r="H5" s="581">
        <v>3222515</v>
      </c>
      <c r="I5" s="168">
        <v>3342014</v>
      </c>
    </row>
    <row r="6" spans="1:16">
      <c r="A6" s="128" t="s">
        <v>68</v>
      </c>
      <c r="B6" s="111">
        <f t="shared" ref="B6:H6" si="0">+B4-B5</f>
        <v>938404</v>
      </c>
      <c r="C6" s="111">
        <f t="shared" si="0"/>
        <v>960220</v>
      </c>
      <c r="D6" s="111">
        <f t="shared" si="0"/>
        <v>973351</v>
      </c>
      <c r="E6" s="111">
        <v>999669</v>
      </c>
      <c r="F6" s="584">
        <f t="shared" si="0"/>
        <v>1050807</v>
      </c>
      <c r="G6" s="584">
        <f t="shared" si="0"/>
        <v>1130400</v>
      </c>
      <c r="H6" s="584">
        <f t="shared" si="0"/>
        <v>1200081</v>
      </c>
      <c r="I6" s="169">
        <f>+I4-I5</f>
        <v>1336768</v>
      </c>
    </row>
    <row r="7" spans="1:16">
      <c r="A7" s="157" t="s">
        <v>69</v>
      </c>
      <c r="B7" s="112">
        <v>507122</v>
      </c>
      <c r="C7" s="112">
        <v>515219</v>
      </c>
      <c r="D7" s="112">
        <v>526232</v>
      </c>
      <c r="E7" s="112">
        <v>487231</v>
      </c>
      <c r="F7" s="581">
        <v>515910</v>
      </c>
      <c r="G7" s="581">
        <v>570889</v>
      </c>
      <c r="H7" s="581">
        <v>638068</v>
      </c>
      <c r="I7" s="168">
        <v>673269</v>
      </c>
    </row>
    <row r="8" spans="1:16">
      <c r="A8" s="157" t="s">
        <v>70</v>
      </c>
      <c r="B8" s="112">
        <v>253112</v>
      </c>
      <c r="C8" s="112">
        <v>275667</v>
      </c>
      <c r="D8" s="112">
        <v>257139</v>
      </c>
      <c r="E8" s="112">
        <v>275851</v>
      </c>
      <c r="F8" s="581">
        <v>322854</v>
      </c>
      <c r="G8" s="581">
        <v>312513</v>
      </c>
      <c r="H8" s="581">
        <v>321544</v>
      </c>
      <c r="I8" s="168">
        <v>415115</v>
      </c>
    </row>
    <row r="9" spans="1:16">
      <c r="A9" s="128" t="s">
        <v>65</v>
      </c>
      <c r="B9" s="111">
        <v>248384</v>
      </c>
      <c r="C9" s="111">
        <v>248384</v>
      </c>
      <c r="D9" s="111">
        <v>248384</v>
      </c>
      <c r="E9" s="111">
        <v>318857</v>
      </c>
      <c r="F9" s="584">
        <f>+F6-F7-F8</f>
        <v>212043</v>
      </c>
      <c r="G9" s="584">
        <f>+G6-G7-G8</f>
        <v>246998</v>
      </c>
      <c r="H9" s="584">
        <f>+H6-H7-H8</f>
        <v>240469</v>
      </c>
      <c r="I9" s="169">
        <f>+I6-I7-I8</f>
        <v>248384</v>
      </c>
    </row>
    <row r="10" spans="1:16">
      <c r="A10" s="128" t="s">
        <v>71</v>
      </c>
      <c r="B10" s="112"/>
      <c r="C10" s="112"/>
      <c r="D10" s="112"/>
      <c r="E10" s="112"/>
      <c r="F10" s="581"/>
      <c r="G10" s="581"/>
      <c r="H10" s="581"/>
      <c r="I10" s="168"/>
    </row>
    <row r="11" spans="1:16">
      <c r="A11" s="157" t="s">
        <v>371</v>
      </c>
      <c r="B11" s="112">
        <v>0</v>
      </c>
      <c r="C11" s="112"/>
      <c r="D11" s="112"/>
      <c r="E11" s="112"/>
      <c r="F11" s="581"/>
      <c r="G11" s="581"/>
      <c r="H11" s="581"/>
      <c r="I11" s="168"/>
    </row>
    <row r="12" spans="1:16">
      <c r="A12" s="128" t="s">
        <v>72</v>
      </c>
      <c r="B12" s="111">
        <v>98473</v>
      </c>
      <c r="C12" s="111">
        <v>159571</v>
      </c>
      <c r="D12" s="111">
        <v>150177</v>
      </c>
      <c r="E12" s="111">
        <v>128695</v>
      </c>
      <c r="F12" s="584">
        <v>173524</v>
      </c>
      <c r="G12" s="584">
        <v>165717</v>
      </c>
      <c r="H12" s="584">
        <v>201488</v>
      </c>
      <c r="I12" s="169">
        <v>187594</v>
      </c>
    </row>
    <row r="13" spans="1:16">
      <c r="A13" s="128" t="s">
        <v>73</v>
      </c>
      <c r="B13" s="111">
        <v>114603</v>
      </c>
      <c r="C13" s="111">
        <v>143293</v>
      </c>
      <c r="D13" s="111">
        <v>141340</v>
      </c>
      <c r="E13" s="111">
        <v>105853</v>
      </c>
      <c r="F13" s="584">
        <v>133942</v>
      </c>
      <c r="G13" s="584">
        <v>166210</v>
      </c>
      <c r="H13" s="584">
        <v>146251</v>
      </c>
      <c r="I13" s="169">
        <v>210217</v>
      </c>
    </row>
    <row r="14" spans="1:16">
      <c r="A14" s="157" t="s">
        <v>74</v>
      </c>
      <c r="B14" s="112">
        <v>2</v>
      </c>
      <c r="C14" s="112">
        <v>0</v>
      </c>
      <c r="D14" s="112">
        <v>0</v>
      </c>
      <c r="E14" s="112">
        <v>0</v>
      </c>
      <c r="F14" s="581">
        <v>0</v>
      </c>
      <c r="G14" s="581">
        <v>0</v>
      </c>
      <c r="H14" s="581">
        <v>0</v>
      </c>
      <c r="I14" s="168">
        <v>0</v>
      </c>
    </row>
    <row r="15" spans="1:16">
      <c r="A15" s="128" t="s">
        <v>75</v>
      </c>
      <c r="B15" s="111">
        <v>162042</v>
      </c>
      <c r="C15" s="111">
        <v>185611</v>
      </c>
      <c r="D15" s="111">
        <v>198817</v>
      </c>
      <c r="E15" s="111">
        <v>257527</v>
      </c>
      <c r="F15" s="584">
        <f>+F9+F12-F13</f>
        <v>251625</v>
      </c>
      <c r="G15" s="584">
        <f>+G9+G12-G13</f>
        <v>246505</v>
      </c>
      <c r="H15" s="584">
        <f>+H9+H12-H13</f>
        <v>295706</v>
      </c>
      <c r="I15" s="169">
        <f>+I9+I12-I13</f>
        <v>225761</v>
      </c>
    </row>
    <row r="16" spans="1:16">
      <c r="A16" s="128" t="s">
        <v>76</v>
      </c>
      <c r="B16" s="112"/>
      <c r="C16" s="112"/>
      <c r="D16" s="112"/>
      <c r="E16" s="112"/>
      <c r="F16" s="581"/>
      <c r="G16" s="581"/>
      <c r="H16" s="581"/>
      <c r="I16" s="168"/>
    </row>
    <row r="17" spans="1:16">
      <c r="A17" s="157" t="s">
        <v>77</v>
      </c>
      <c r="B17" s="112">
        <v>66950</v>
      </c>
      <c r="C17" s="112">
        <v>63574</v>
      </c>
      <c r="D17" s="112">
        <v>63181</v>
      </c>
      <c r="E17" s="112">
        <v>73849</v>
      </c>
      <c r="F17" s="581">
        <v>75871</v>
      </c>
      <c r="G17" s="581">
        <v>76463</v>
      </c>
      <c r="H17" s="581">
        <v>93706</v>
      </c>
      <c r="I17" s="168">
        <v>89327</v>
      </c>
    </row>
    <row r="18" spans="1:16">
      <c r="A18" s="128" t="s">
        <v>78</v>
      </c>
      <c r="B18" s="112"/>
      <c r="C18" s="112"/>
      <c r="D18" s="112"/>
      <c r="E18" s="112"/>
      <c r="F18" s="581"/>
      <c r="G18" s="581"/>
      <c r="H18" s="581"/>
      <c r="I18" s="168"/>
    </row>
    <row r="19" spans="1:16">
      <c r="A19" s="128" t="s">
        <v>79</v>
      </c>
      <c r="B19" s="111">
        <v>95093</v>
      </c>
      <c r="C19" s="111">
        <v>122037</v>
      </c>
      <c r="D19" s="111">
        <v>135635</v>
      </c>
      <c r="E19" s="111">
        <v>184092</v>
      </c>
      <c r="F19" s="584">
        <f>+F15-F17</f>
        <v>175754</v>
      </c>
      <c r="G19" s="584">
        <f>+G15-G17</f>
        <v>170042</v>
      </c>
      <c r="H19" s="584">
        <f>+H15-H17</f>
        <v>202000</v>
      </c>
      <c r="I19" s="169">
        <f>+I15-I17</f>
        <v>136434</v>
      </c>
      <c r="K19" s="757"/>
      <c r="L19" s="757"/>
      <c r="M19" s="757"/>
      <c r="N19" s="757"/>
      <c r="O19" s="757"/>
      <c r="P19" s="757"/>
    </row>
    <row r="20" spans="1:16">
      <c r="A20" s="128" t="s">
        <v>370</v>
      </c>
      <c r="B20" s="112"/>
      <c r="C20" s="112"/>
      <c r="D20" s="112"/>
      <c r="E20" s="112"/>
      <c r="F20" s="581"/>
      <c r="G20" s="581"/>
      <c r="H20" s="581"/>
      <c r="I20" s="168"/>
    </row>
    <row r="21" spans="1:16" ht="15.75" thickBot="1">
      <c r="A21" s="174" t="s">
        <v>707</v>
      </c>
      <c r="B21" s="175">
        <v>21474</v>
      </c>
      <c r="C21" s="175">
        <v>23281</v>
      </c>
      <c r="D21" s="175">
        <v>25784</v>
      </c>
      <c r="E21" s="175">
        <v>23494</v>
      </c>
      <c r="F21" s="642">
        <v>24242</v>
      </c>
      <c r="G21" s="642">
        <v>27916</v>
      </c>
      <c r="H21" s="642">
        <v>29694</v>
      </c>
      <c r="I21" s="176">
        <v>27156</v>
      </c>
    </row>
    <row r="22" spans="1:16" ht="26.25" thickTop="1">
      <c r="A22" s="76" t="s">
        <v>921</v>
      </c>
    </row>
  </sheetData>
  <mergeCells count="1">
    <mergeCell ref="E1:I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52"/>
  <sheetViews>
    <sheetView showGridLines="0" zoomScale="120" zoomScaleNormal="120" workbookViewId="0">
      <pane xSplit="1" ySplit="2" topLeftCell="B3" activePane="bottomRight" state="frozen"/>
      <selection activeCell="J50" sqref="J50"/>
      <selection pane="topRight" activeCell="J50" sqref="J50"/>
      <selection pane="bottomLeft" activeCell="J50" sqref="J50"/>
      <selection pane="bottomRight" activeCell="G6" sqref="G6"/>
    </sheetView>
  </sheetViews>
  <sheetFormatPr baseColWidth="10" defaultColWidth="11.42578125" defaultRowHeight="15"/>
  <cols>
    <col min="1" max="1" width="56" style="64" customWidth="1"/>
    <col min="2" max="2" width="13.42578125" style="62" hidden="1" customWidth="1"/>
    <col min="3" max="4" width="13.140625" style="62" hidden="1" customWidth="1"/>
    <col min="5" max="6" width="13.140625" style="62" customWidth="1"/>
    <col min="7" max="7" width="12.28515625" style="64" customWidth="1"/>
    <col min="8" max="8" width="12.28515625" style="62" customWidth="1"/>
    <col min="9" max="9" width="12.28515625" style="64" customWidth="1"/>
    <col min="10" max="16384" width="11.42578125" style="64"/>
  </cols>
  <sheetData>
    <row r="1" spans="1:9" ht="15.75" thickBot="1">
      <c r="B1" s="779"/>
      <c r="C1" s="779"/>
      <c r="D1" s="779"/>
      <c r="E1" s="1577" t="s">
        <v>369</v>
      </c>
      <c r="F1" s="1577"/>
      <c r="G1" s="1577"/>
      <c r="H1" s="1577"/>
      <c r="I1" s="1577"/>
    </row>
    <row r="2" spans="1:9" ht="15.75" thickTop="1">
      <c r="A2" s="152" t="s">
        <v>387</v>
      </c>
      <c r="B2" s="171">
        <v>2007</v>
      </c>
      <c r="C2" s="171">
        <v>2008</v>
      </c>
      <c r="D2" s="171">
        <v>2009</v>
      </c>
      <c r="E2" s="171">
        <v>2010</v>
      </c>
      <c r="F2" s="614">
        <v>2011</v>
      </c>
      <c r="G2" s="614">
        <v>2012</v>
      </c>
      <c r="H2" s="614">
        <v>2013</v>
      </c>
      <c r="I2" s="172">
        <v>2014</v>
      </c>
    </row>
    <row r="3" spans="1:9">
      <c r="A3" s="128" t="s">
        <v>418</v>
      </c>
      <c r="B3" s="74"/>
      <c r="C3" s="74"/>
      <c r="D3" s="74"/>
      <c r="E3" s="74"/>
      <c r="F3" s="641"/>
      <c r="G3" s="641"/>
      <c r="H3" s="641"/>
      <c r="I3" s="173"/>
    </row>
    <row r="4" spans="1:9">
      <c r="A4" s="128" t="s">
        <v>418</v>
      </c>
      <c r="B4" s="111">
        <v>143244</v>
      </c>
      <c r="C4" s="111">
        <v>184417</v>
      </c>
      <c r="D4" s="111">
        <v>199323</v>
      </c>
      <c r="E4" s="111">
        <v>203984</v>
      </c>
      <c r="F4" s="584">
        <v>275964</v>
      </c>
      <c r="G4" s="584">
        <v>260870</v>
      </c>
      <c r="H4" s="584">
        <v>225811</v>
      </c>
      <c r="I4" s="169">
        <v>341587</v>
      </c>
    </row>
    <row r="5" spans="1:9">
      <c r="A5" s="128" t="s">
        <v>415</v>
      </c>
      <c r="B5" s="112"/>
      <c r="C5" s="112"/>
      <c r="D5" s="112"/>
      <c r="E5" s="112"/>
      <c r="F5" s="581"/>
      <c r="G5" s="581"/>
      <c r="H5" s="581"/>
      <c r="I5" s="168"/>
    </row>
    <row r="6" spans="1:9">
      <c r="A6" s="157" t="s">
        <v>417</v>
      </c>
      <c r="B6" s="112">
        <v>2743827</v>
      </c>
      <c r="C6" s="112">
        <v>3042903</v>
      </c>
      <c r="D6" s="112">
        <v>3250863</v>
      </c>
      <c r="E6" s="112">
        <v>3442746</v>
      </c>
      <c r="F6" s="581">
        <v>3910935</v>
      </c>
      <c r="G6" s="581">
        <v>4377953</v>
      </c>
      <c r="H6" s="581">
        <v>4422596</v>
      </c>
      <c r="I6" s="168">
        <v>4678782</v>
      </c>
    </row>
    <row r="7" spans="1:9">
      <c r="A7" s="157" t="s">
        <v>416</v>
      </c>
      <c r="B7" s="112">
        <v>-140579</v>
      </c>
      <c r="C7" s="112">
        <v>2994</v>
      </c>
      <c r="D7" s="112">
        <v>-64275</v>
      </c>
      <c r="E7" s="112">
        <v>-46526</v>
      </c>
      <c r="F7" s="581">
        <v>-245187</v>
      </c>
      <c r="G7" s="581">
        <v>-108974</v>
      </c>
      <c r="H7" s="581">
        <v>4020</v>
      </c>
      <c r="I7" s="168">
        <v>-163050</v>
      </c>
    </row>
    <row r="8" spans="1:9">
      <c r="A8" s="128" t="s">
        <v>415</v>
      </c>
      <c r="B8" s="111">
        <v>2603248</v>
      </c>
      <c r="C8" s="111">
        <v>3045897</v>
      </c>
      <c r="D8" s="111">
        <v>3186588</v>
      </c>
      <c r="E8" s="111">
        <v>3396219</v>
      </c>
      <c r="F8" s="584">
        <f>SUM(F6:F7)</f>
        <v>3665748</v>
      </c>
      <c r="G8" s="584">
        <f>SUM(G6:G7)</f>
        <v>4268979</v>
      </c>
      <c r="H8" s="584">
        <f>SUM(H6:H7)</f>
        <v>4426616</v>
      </c>
      <c r="I8" s="169">
        <f>SUM(I6:I7)</f>
        <v>4515732</v>
      </c>
    </row>
    <row r="9" spans="1:9">
      <c r="A9" s="128" t="s">
        <v>414</v>
      </c>
      <c r="B9" s="112"/>
      <c r="C9" s="112"/>
      <c r="D9" s="112"/>
      <c r="E9" s="112"/>
      <c r="F9" s="581"/>
      <c r="G9" s="581"/>
      <c r="H9" s="581"/>
      <c r="I9" s="168"/>
    </row>
    <row r="10" spans="1:9">
      <c r="A10" s="157" t="s">
        <v>413</v>
      </c>
      <c r="B10" s="112">
        <v>-1805423</v>
      </c>
      <c r="C10" s="112">
        <v>-2082683</v>
      </c>
      <c r="D10" s="112">
        <v>-2277512</v>
      </c>
      <c r="E10" s="112">
        <v>-2443076</v>
      </c>
      <c r="F10" s="581">
        <v>-2860128</v>
      </c>
      <c r="G10" s="581">
        <v>-3247553</v>
      </c>
      <c r="H10" s="581">
        <v>-3222515</v>
      </c>
      <c r="I10" s="168">
        <v>-3342014</v>
      </c>
    </row>
    <row r="11" spans="1:9">
      <c r="A11" s="157" t="s">
        <v>412</v>
      </c>
      <c r="B11" s="112">
        <v>-6969</v>
      </c>
      <c r="C11" s="112">
        <v>8348</v>
      </c>
      <c r="D11" s="112">
        <v>-4949</v>
      </c>
      <c r="E11" s="112">
        <v>1434</v>
      </c>
      <c r="F11" s="581">
        <v>-11611</v>
      </c>
      <c r="G11" s="581">
        <v>952</v>
      </c>
      <c r="H11" s="581">
        <v>2889</v>
      </c>
      <c r="I11" s="168">
        <v>-586</v>
      </c>
    </row>
    <row r="12" spans="1:9">
      <c r="A12" s="157" t="s">
        <v>411</v>
      </c>
      <c r="B12" s="112">
        <v>4184</v>
      </c>
      <c r="C12" s="112">
        <v>-60774</v>
      </c>
      <c r="D12" s="112">
        <v>3215</v>
      </c>
      <c r="E12" s="112">
        <v>-3534</v>
      </c>
      <c r="F12" s="581">
        <v>60253</v>
      </c>
      <c r="G12" s="581">
        <v>-5874</v>
      </c>
      <c r="H12" s="581">
        <v>12406</v>
      </c>
      <c r="I12" s="168">
        <v>9065</v>
      </c>
    </row>
    <row r="13" spans="1:9">
      <c r="A13" s="157" t="s">
        <v>410</v>
      </c>
      <c r="B13" s="112">
        <v>21474</v>
      </c>
      <c r="C13" s="112">
        <v>23281</v>
      </c>
      <c r="D13" s="112">
        <v>25784</v>
      </c>
      <c r="E13" s="112">
        <v>0</v>
      </c>
      <c r="F13" s="581">
        <v>0</v>
      </c>
      <c r="G13" s="581">
        <v>0</v>
      </c>
      <c r="H13" s="581">
        <v>0</v>
      </c>
      <c r="I13" s="168">
        <v>0</v>
      </c>
    </row>
    <row r="14" spans="1:9">
      <c r="A14" s="128" t="s">
        <v>409</v>
      </c>
      <c r="B14" s="111">
        <v>-1786734</v>
      </c>
      <c r="C14" s="111">
        <v>-2111829</v>
      </c>
      <c r="D14" s="111">
        <v>-2253462</v>
      </c>
      <c r="E14" s="111">
        <v>-2436948</v>
      </c>
      <c r="F14" s="584">
        <f>SUM(F10:F13)</f>
        <v>-2811486</v>
      </c>
      <c r="G14" s="584">
        <f>SUM(G10:G13)</f>
        <v>-3252475</v>
      </c>
      <c r="H14" s="584">
        <f>SUM(H10:H13)</f>
        <v>-3207220</v>
      </c>
      <c r="I14" s="169">
        <f>SUM(I10:I13)</f>
        <v>-3333535</v>
      </c>
    </row>
    <row r="15" spans="1:9">
      <c r="A15" s="128" t="s">
        <v>408</v>
      </c>
      <c r="B15" s="112"/>
      <c r="C15" s="112"/>
      <c r="D15" s="112"/>
      <c r="E15" s="112"/>
      <c r="F15" s="581"/>
      <c r="G15" s="581"/>
      <c r="H15" s="581"/>
      <c r="I15" s="168"/>
    </row>
    <row r="16" spans="1:9">
      <c r="A16" s="157" t="s">
        <v>407</v>
      </c>
      <c r="B16" s="112">
        <v>-507122</v>
      </c>
      <c r="C16" s="112">
        <v>-515219</v>
      </c>
      <c r="D16" s="112">
        <v>-526232</v>
      </c>
      <c r="E16" s="112">
        <v>-487231</v>
      </c>
      <c r="F16" s="581">
        <v>-515910</v>
      </c>
      <c r="G16" s="581">
        <v>-570889</v>
      </c>
      <c r="H16" s="581">
        <v>-638068</v>
      </c>
      <c r="I16" s="168">
        <v>-673269</v>
      </c>
    </row>
    <row r="17" spans="1:9">
      <c r="A17" s="157" t="s">
        <v>406</v>
      </c>
      <c r="B17" s="112">
        <v>-253112</v>
      </c>
      <c r="C17" s="112">
        <v>-275667</v>
      </c>
      <c r="D17" s="112">
        <v>-257139</v>
      </c>
      <c r="E17" s="112">
        <v>-275851</v>
      </c>
      <c r="F17" s="581">
        <v>-322854</v>
      </c>
      <c r="G17" s="581">
        <v>-312513</v>
      </c>
      <c r="H17" s="581">
        <v>-321544</v>
      </c>
      <c r="I17" s="168">
        <v>-415115</v>
      </c>
    </row>
    <row r="18" spans="1:9">
      <c r="A18" s="157" t="s">
        <v>405</v>
      </c>
      <c r="B18" s="112">
        <v>-66950</v>
      </c>
      <c r="C18" s="112">
        <v>-63574</v>
      </c>
      <c r="D18" s="112">
        <v>-63181</v>
      </c>
      <c r="E18" s="112">
        <v>-73849</v>
      </c>
      <c r="F18" s="581">
        <v>-75871</v>
      </c>
      <c r="G18" s="581">
        <v>-76463</v>
      </c>
      <c r="H18" s="581">
        <v>-93706</v>
      </c>
      <c r="I18" s="168">
        <v>-89327</v>
      </c>
    </row>
    <row r="19" spans="1:9">
      <c r="A19" s="157" t="s">
        <v>404</v>
      </c>
      <c r="B19" s="112">
        <v>45820</v>
      </c>
      <c r="C19" s="112">
        <v>-7357</v>
      </c>
      <c r="D19" s="112">
        <v>34798</v>
      </c>
      <c r="E19" s="112">
        <v>21113</v>
      </c>
      <c r="F19" s="581">
        <v>38216</v>
      </c>
      <c r="G19" s="581">
        <v>14944</v>
      </c>
      <c r="H19" s="581">
        <v>21842</v>
      </c>
      <c r="I19" s="168">
        <v>62088</v>
      </c>
    </row>
    <row r="20" spans="1:9">
      <c r="A20" s="157" t="s">
        <v>403</v>
      </c>
      <c r="B20" s="112">
        <v>1003</v>
      </c>
      <c r="C20" s="112">
        <v>-3224</v>
      </c>
      <c r="D20" s="112">
        <v>1568</v>
      </c>
      <c r="E20" s="112">
        <v>364</v>
      </c>
      <c r="F20" s="581">
        <v>17470</v>
      </c>
      <c r="G20" s="581">
        <v>-3416</v>
      </c>
      <c r="H20" s="581">
        <v>14662</v>
      </c>
      <c r="I20" s="168">
        <v>8799</v>
      </c>
    </row>
    <row r="21" spans="1:9">
      <c r="A21" s="157" t="s">
        <v>402</v>
      </c>
      <c r="B21" s="112">
        <v>5450</v>
      </c>
      <c r="C21" s="112">
        <v>7432</v>
      </c>
      <c r="D21" s="112">
        <v>-6322</v>
      </c>
      <c r="E21" s="112">
        <v>-6453</v>
      </c>
      <c r="F21" s="581">
        <v>3261</v>
      </c>
      <c r="G21" s="581">
        <v>-368</v>
      </c>
      <c r="H21" s="581">
        <v>4464</v>
      </c>
      <c r="I21" s="168">
        <v>12879</v>
      </c>
    </row>
    <row r="22" spans="1:9">
      <c r="A22" s="128" t="s">
        <v>401</v>
      </c>
      <c r="B22" s="111">
        <v>-774910</v>
      </c>
      <c r="C22" s="111">
        <v>-857609</v>
      </c>
      <c r="D22" s="111">
        <v>-816508</v>
      </c>
      <c r="E22" s="111">
        <v>-821907</v>
      </c>
      <c r="F22" s="169">
        <f>SUM(F16:F21)</f>
        <v>-855688</v>
      </c>
      <c r="G22" s="169">
        <f>SUM(G16:G21)</f>
        <v>-948705</v>
      </c>
      <c r="H22" s="169">
        <f>SUM(H16:H21)</f>
        <v>-1012350</v>
      </c>
      <c r="I22" s="169">
        <f>SUM(I16:I21)</f>
        <v>-1093945</v>
      </c>
    </row>
    <row r="23" spans="1:9">
      <c r="A23" s="128" t="s">
        <v>400</v>
      </c>
      <c r="B23" s="112"/>
      <c r="C23" s="112"/>
      <c r="D23" s="112"/>
      <c r="E23" s="112"/>
      <c r="F23" s="581"/>
      <c r="G23" s="581"/>
      <c r="H23" s="581"/>
      <c r="I23" s="168"/>
    </row>
    <row r="24" spans="1:9">
      <c r="A24" s="128" t="s">
        <v>399</v>
      </c>
      <c r="B24" s="111">
        <v>41604</v>
      </c>
      <c r="C24" s="111">
        <v>76459</v>
      </c>
      <c r="D24" s="111">
        <v>116618</v>
      </c>
      <c r="E24" s="584">
        <v>129136</v>
      </c>
      <c r="F24" s="584">
        <f>+F8+F14+F22</f>
        <v>-1426</v>
      </c>
      <c r="G24" s="584">
        <f>+G8+G14+G22</f>
        <v>67799</v>
      </c>
      <c r="H24" s="584">
        <f>+H8+H14+H22</f>
        <v>207046</v>
      </c>
      <c r="I24" s="169">
        <f>+I8+I14+I22</f>
        <v>88252</v>
      </c>
    </row>
    <row r="25" spans="1:9">
      <c r="A25" s="128" t="s">
        <v>398</v>
      </c>
      <c r="B25" s="112"/>
      <c r="C25" s="112"/>
      <c r="D25" s="112"/>
      <c r="E25" s="112"/>
      <c r="F25" s="581"/>
      <c r="G25" s="581"/>
      <c r="H25" s="581"/>
      <c r="I25" s="168"/>
    </row>
    <row r="26" spans="1:9">
      <c r="A26" s="157" t="s">
        <v>397</v>
      </c>
      <c r="B26" s="112">
        <v>-34065</v>
      </c>
      <c r="C26" s="112">
        <v>-13392</v>
      </c>
      <c r="D26" s="112">
        <v>-39229</v>
      </c>
      <c r="E26" s="112">
        <v>607</v>
      </c>
      <c r="F26" s="581">
        <v>-6443</v>
      </c>
      <c r="G26" s="581">
        <v>4340</v>
      </c>
      <c r="H26" s="581">
        <v>-43206</v>
      </c>
      <c r="I26" s="168">
        <v>12540</v>
      </c>
    </row>
    <row r="27" spans="1:9">
      <c r="A27" s="157" t="s">
        <v>396</v>
      </c>
      <c r="B27" s="112">
        <v>5477</v>
      </c>
      <c r="C27" s="112">
        <v>-15596</v>
      </c>
      <c r="D27" s="112">
        <v>-20241</v>
      </c>
      <c r="E27" s="112">
        <v>175</v>
      </c>
      <c r="F27" s="581">
        <v>-48442</v>
      </c>
      <c r="G27" s="581">
        <v>-58956</v>
      </c>
      <c r="H27" s="581">
        <v>43706</v>
      </c>
      <c r="I27" s="168">
        <v>-9591</v>
      </c>
    </row>
    <row r="28" spans="1:9">
      <c r="A28" s="128" t="s">
        <v>395</v>
      </c>
      <c r="B28" s="112"/>
      <c r="C28" s="112"/>
      <c r="D28" s="112"/>
      <c r="E28" s="112"/>
      <c r="F28" s="581"/>
      <c r="G28" s="581"/>
      <c r="H28" s="581"/>
      <c r="I28" s="168"/>
    </row>
    <row r="29" spans="1:9">
      <c r="A29" s="128" t="s">
        <v>394</v>
      </c>
      <c r="B29" s="111">
        <v>13016</v>
      </c>
      <c r="C29" s="111">
        <v>47471</v>
      </c>
      <c r="D29" s="111">
        <v>57148</v>
      </c>
      <c r="E29" s="111">
        <v>129917</v>
      </c>
      <c r="F29" s="584">
        <f>+F24+F26+F27</f>
        <v>-56311</v>
      </c>
      <c r="G29" s="584">
        <f>+G24+G26+G27</f>
        <v>13183</v>
      </c>
      <c r="H29" s="584">
        <f>+H24+H26+H27</f>
        <v>207546</v>
      </c>
      <c r="I29" s="169">
        <f>+I24+I26+I27</f>
        <v>91201</v>
      </c>
    </row>
    <row r="30" spans="1:9">
      <c r="A30" s="128" t="s">
        <v>393</v>
      </c>
      <c r="B30" s="112"/>
      <c r="C30" s="112"/>
      <c r="D30" s="112"/>
      <c r="E30" s="112"/>
      <c r="F30" s="581"/>
      <c r="G30" s="581"/>
      <c r="H30" s="581"/>
      <c r="I30" s="168"/>
    </row>
    <row r="31" spans="1:9">
      <c r="A31" s="157" t="s">
        <v>392</v>
      </c>
      <c r="B31" s="112">
        <v>-114603</v>
      </c>
      <c r="C31" s="112">
        <v>-143293</v>
      </c>
      <c r="D31" s="112">
        <v>-141340</v>
      </c>
      <c r="E31" s="112">
        <v>0</v>
      </c>
      <c r="F31" s="581">
        <v>0</v>
      </c>
      <c r="G31" s="581">
        <v>0</v>
      </c>
      <c r="H31" s="581">
        <v>-59967</v>
      </c>
      <c r="I31" s="168">
        <v>-63353</v>
      </c>
    </row>
    <row r="32" spans="1:9">
      <c r="A32" s="128" t="s">
        <v>391</v>
      </c>
      <c r="B32" s="111">
        <v>-101586</v>
      </c>
      <c r="C32" s="111">
        <v>-95822</v>
      </c>
      <c r="D32" s="111">
        <v>-84192</v>
      </c>
      <c r="E32" s="111">
        <v>129917</v>
      </c>
      <c r="F32" s="584">
        <f>+F29+F31</f>
        <v>-56311</v>
      </c>
      <c r="G32" s="584">
        <f>+G29+G31</f>
        <v>13183</v>
      </c>
      <c r="H32" s="584">
        <f>+H29+H31</f>
        <v>147579</v>
      </c>
      <c r="I32" s="169">
        <f>+I29+I31</f>
        <v>27848</v>
      </c>
    </row>
    <row r="33" spans="1:9">
      <c r="A33" s="157" t="s">
        <v>390</v>
      </c>
      <c r="B33" s="112">
        <v>64465</v>
      </c>
      <c r="C33" s="112">
        <v>137601</v>
      </c>
      <c r="D33" s="112">
        <v>-55568</v>
      </c>
      <c r="E33" s="112">
        <v>18936</v>
      </c>
      <c r="F33" s="581">
        <v>97744</v>
      </c>
      <c r="G33" s="581">
        <v>41269</v>
      </c>
      <c r="H33" s="581">
        <v>-109345</v>
      </c>
      <c r="I33" s="168">
        <v>119612</v>
      </c>
    </row>
    <row r="34" spans="1:9">
      <c r="A34" s="157" t="s">
        <v>389</v>
      </c>
      <c r="B34" s="112">
        <v>39628</v>
      </c>
      <c r="C34" s="112">
        <v>-21226</v>
      </c>
      <c r="D34" s="112">
        <v>54554</v>
      </c>
      <c r="E34" s="112">
        <v>26684</v>
      </c>
      <c r="F34" s="581">
        <v>-4202</v>
      </c>
      <c r="G34" s="581">
        <v>11916</v>
      </c>
      <c r="H34" s="581">
        <v>189032</v>
      </c>
      <c r="I34" s="168">
        <v>4986</v>
      </c>
    </row>
    <row r="35" spans="1:9">
      <c r="A35" s="128" t="s">
        <v>388</v>
      </c>
      <c r="B35" s="111">
        <v>2506</v>
      </c>
      <c r="C35" s="111">
        <v>20553</v>
      </c>
      <c r="D35" s="111">
        <v>-85207</v>
      </c>
      <c r="E35" s="111">
        <v>175537</v>
      </c>
      <c r="F35" s="584">
        <f>SUM(F32:F34)</f>
        <v>37231</v>
      </c>
      <c r="G35" s="584">
        <f>SUM(G32:G34)</f>
        <v>66368</v>
      </c>
      <c r="H35" s="584">
        <f>SUM(H32:H34)</f>
        <v>227266</v>
      </c>
      <c r="I35" s="169">
        <f>SUM(I32:I34)</f>
        <v>152446</v>
      </c>
    </row>
    <row r="36" spans="1:9">
      <c r="A36" s="128" t="s">
        <v>387</v>
      </c>
      <c r="B36" s="112"/>
      <c r="C36" s="112"/>
      <c r="D36" s="112"/>
      <c r="E36" s="112"/>
      <c r="F36" s="581"/>
      <c r="G36" s="581"/>
      <c r="H36" s="581"/>
      <c r="I36" s="168"/>
    </row>
    <row r="37" spans="1:9">
      <c r="A37" s="157" t="s">
        <v>386</v>
      </c>
      <c r="B37" s="112">
        <v>-65593</v>
      </c>
      <c r="C37" s="112">
        <v>-34327</v>
      </c>
      <c r="D37" s="112">
        <v>-55574</v>
      </c>
      <c r="E37" s="112">
        <v>-140237</v>
      </c>
      <c r="F37" s="581">
        <v>-33971</v>
      </c>
      <c r="G37" s="581">
        <v>-93221</v>
      </c>
      <c r="H37" s="581">
        <v>-55888</v>
      </c>
      <c r="I37" s="168">
        <v>-132220</v>
      </c>
    </row>
    <row r="38" spans="1:9">
      <c r="A38" s="157" t="s">
        <v>922</v>
      </c>
      <c r="B38" s="112">
        <v>0</v>
      </c>
      <c r="C38" s="112">
        <v>0</v>
      </c>
      <c r="D38" s="112">
        <v>0</v>
      </c>
      <c r="E38" s="112">
        <v>-105853</v>
      </c>
      <c r="F38" s="581">
        <v>-133942</v>
      </c>
      <c r="G38" s="581">
        <v>-166210</v>
      </c>
      <c r="H38" s="581">
        <v>-86284</v>
      </c>
      <c r="I38" s="168">
        <v>-146864</v>
      </c>
    </row>
    <row r="39" spans="1:9">
      <c r="A39" s="157" t="s">
        <v>385</v>
      </c>
      <c r="B39" s="112">
        <v>108533</v>
      </c>
      <c r="C39" s="112">
        <v>-17997</v>
      </c>
      <c r="D39" s="112">
        <v>35616</v>
      </c>
      <c r="E39" s="112">
        <v>14555</v>
      </c>
      <c r="F39" s="581">
        <v>-14233</v>
      </c>
      <c r="G39" s="581">
        <v>-47053</v>
      </c>
      <c r="H39" s="581">
        <v>-96014</v>
      </c>
      <c r="I39" s="168">
        <v>27587</v>
      </c>
    </row>
    <row r="40" spans="1:9">
      <c r="A40" s="157" t="s">
        <v>384</v>
      </c>
      <c r="B40" s="112">
        <v>-77921</v>
      </c>
      <c r="C40" s="112">
        <v>-10349</v>
      </c>
      <c r="D40" s="112">
        <v>7259</v>
      </c>
      <c r="E40" s="112">
        <v>-870</v>
      </c>
      <c r="F40" s="581">
        <v>-14706</v>
      </c>
      <c r="G40" s="581">
        <v>-28215</v>
      </c>
      <c r="H40" s="581">
        <v>-13001</v>
      </c>
      <c r="I40" s="168">
        <v>-16927</v>
      </c>
    </row>
    <row r="41" spans="1:9">
      <c r="A41" s="157" t="s">
        <v>383</v>
      </c>
      <c r="B41" s="112">
        <v>-15812</v>
      </c>
      <c r="C41" s="112">
        <v>-86873</v>
      </c>
      <c r="D41" s="112">
        <v>-41172</v>
      </c>
      <c r="E41" s="112">
        <v>-34395</v>
      </c>
      <c r="F41" s="581">
        <v>-94978</v>
      </c>
      <c r="G41" s="581">
        <v>-36314</v>
      </c>
      <c r="H41" s="581">
        <v>-97084</v>
      </c>
      <c r="I41" s="168">
        <v>-74477</v>
      </c>
    </row>
    <row r="42" spans="1:9">
      <c r="A42" s="157" t="s">
        <v>382</v>
      </c>
      <c r="B42" s="112">
        <v>-2431</v>
      </c>
      <c r="C42" s="112">
        <v>4032</v>
      </c>
      <c r="D42" s="112">
        <v>3161</v>
      </c>
      <c r="E42" s="112">
        <v>-200</v>
      </c>
      <c r="F42" s="581">
        <v>-8553</v>
      </c>
      <c r="G42" s="581">
        <v>2089</v>
      </c>
      <c r="H42" s="581">
        <v>-8950</v>
      </c>
      <c r="I42" s="168">
        <v>-5337</v>
      </c>
    </row>
    <row r="43" spans="1:9">
      <c r="A43" s="157" t="s">
        <v>381</v>
      </c>
      <c r="B43" s="112">
        <v>98473</v>
      </c>
      <c r="C43" s="112">
        <v>159571</v>
      </c>
      <c r="D43" s="112">
        <v>150177</v>
      </c>
      <c r="E43" s="112">
        <v>128695</v>
      </c>
      <c r="F43" s="581">
        <v>173524</v>
      </c>
      <c r="G43" s="581">
        <v>165717</v>
      </c>
      <c r="H43" s="581">
        <v>201488</v>
      </c>
      <c r="I43" s="168">
        <v>187594</v>
      </c>
    </row>
    <row r="44" spans="1:9">
      <c r="A44" s="157" t="s">
        <v>380</v>
      </c>
      <c r="B44" s="112">
        <v>3210</v>
      </c>
      <c r="C44" s="112">
        <v>12493</v>
      </c>
      <c r="D44" s="112">
        <v>25396</v>
      </c>
      <c r="E44" s="112">
        <v>22427</v>
      </c>
      <c r="F44" s="581">
        <v>-9731</v>
      </c>
      <c r="G44" s="581">
        <v>-17188</v>
      </c>
      <c r="H44" s="581">
        <v>-15383</v>
      </c>
      <c r="I44" s="168">
        <v>-3542</v>
      </c>
    </row>
    <row r="45" spans="1:9">
      <c r="A45" s="157" t="s">
        <v>379</v>
      </c>
      <c r="B45" s="112">
        <v>41744</v>
      </c>
      <c r="C45" s="112">
        <v>5323</v>
      </c>
      <c r="D45" s="112">
        <v>56006</v>
      </c>
      <c r="E45" s="112">
        <v>52566</v>
      </c>
      <c r="F45" s="581">
        <v>102637</v>
      </c>
      <c r="G45" s="581">
        <v>75152</v>
      </c>
      <c r="H45" s="581">
        <v>45471</v>
      </c>
      <c r="I45" s="168">
        <v>15024</v>
      </c>
    </row>
    <row r="46" spans="1:9">
      <c r="A46" s="157" t="s">
        <v>378</v>
      </c>
      <c r="B46" s="112">
        <v>0</v>
      </c>
      <c r="C46" s="112">
        <v>-162</v>
      </c>
      <c r="D46" s="112">
        <v>0</v>
      </c>
      <c r="E46" s="112">
        <v>0</v>
      </c>
      <c r="F46" s="581">
        <v>0</v>
      </c>
      <c r="G46" s="581">
        <v>0</v>
      </c>
      <c r="H46" s="581">
        <v>0</v>
      </c>
      <c r="I46" s="168">
        <v>0</v>
      </c>
    </row>
    <row r="47" spans="1:9">
      <c r="A47" s="157" t="s">
        <v>377</v>
      </c>
      <c r="B47" s="112">
        <v>-22384</v>
      </c>
      <c r="C47" s="112">
        <v>-18312</v>
      </c>
      <c r="D47" s="112">
        <v>-74838</v>
      </c>
      <c r="E47" s="112">
        <v>-20908</v>
      </c>
      <c r="F47" s="581">
        <v>-20560</v>
      </c>
      <c r="G47" s="581">
        <v>53884</v>
      </c>
      <c r="H47" s="581">
        <v>18103</v>
      </c>
      <c r="I47" s="168">
        <v>-22430</v>
      </c>
    </row>
    <row r="48" spans="1:9">
      <c r="A48" s="157" t="s">
        <v>376</v>
      </c>
      <c r="B48" s="112">
        <v>-30228</v>
      </c>
      <c r="C48" s="112">
        <v>-19241</v>
      </c>
      <c r="D48" s="112">
        <v>4075</v>
      </c>
      <c r="E48" s="112">
        <v>-12492</v>
      </c>
      <c r="F48" s="581">
        <v>-3173</v>
      </c>
      <c r="G48" s="581">
        <v>-10068</v>
      </c>
      <c r="H48" s="581">
        <v>-3946</v>
      </c>
      <c r="I48" s="168">
        <v>-13943</v>
      </c>
    </row>
    <row r="49" spans="1:9">
      <c r="A49" s="157" t="s">
        <v>375</v>
      </c>
      <c r="B49" s="112">
        <v>37592</v>
      </c>
      <c r="C49" s="112">
        <v>-5844</v>
      </c>
      <c r="D49" s="112">
        <v>110107</v>
      </c>
      <c r="E49" s="112">
        <v>-96710</v>
      </c>
      <c r="F49" s="168">
        <f>SUM(F37:F48)</f>
        <v>-57686</v>
      </c>
      <c r="G49" s="168">
        <f>SUM(G37:G48)</f>
        <v>-101427</v>
      </c>
      <c r="H49" s="168">
        <f>SUM(H37:H48)</f>
        <v>-111488</v>
      </c>
      <c r="I49" s="168">
        <f>SUM(I37:I48)</f>
        <v>-185535</v>
      </c>
    </row>
    <row r="50" spans="1:9">
      <c r="A50" s="157" t="s">
        <v>374</v>
      </c>
      <c r="B50" s="112">
        <v>40098</v>
      </c>
      <c r="C50" s="112">
        <v>14709</v>
      </c>
      <c r="D50" s="112">
        <v>24900</v>
      </c>
      <c r="E50" s="112">
        <v>78827</v>
      </c>
      <c r="F50" s="168">
        <f>+F35+SUM(F37:F48)</f>
        <v>-20455</v>
      </c>
      <c r="G50" s="168">
        <f>+G35+SUM(G37:G48)</f>
        <v>-35059</v>
      </c>
      <c r="H50" s="168">
        <f>+H35+SUM(H37:H48)</f>
        <v>115778</v>
      </c>
      <c r="I50" s="168">
        <f>+I35+SUM(I37:I48)</f>
        <v>-33089</v>
      </c>
    </row>
    <row r="51" spans="1:9" ht="15.75" thickBot="1">
      <c r="A51" s="159" t="s">
        <v>373</v>
      </c>
      <c r="B51" s="161">
        <v>183342</v>
      </c>
      <c r="C51" s="161">
        <v>199126</v>
      </c>
      <c r="D51" s="161">
        <v>224223</v>
      </c>
      <c r="E51" s="161">
        <v>282811</v>
      </c>
      <c r="F51" s="611">
        <f>+F4+F50</f>
        <v>255509</v>
      </c>
      <c r="G51" s="611">
        <f>+G4+G50</f>
        <v>225811</v>
      </c>
      <c r="H51" s="611">
        <f>+H4+H50</f>
        <v>341589</v>
      </c>
      <c r="I51" s="170">
        <f>+I4+I50</f>
        <v>308498</v>
      </c>
    </row>
    <row r="52" spans="1:9" ht="26.25" thickTop="1">
      <c r="A52" s="76" t="s">
        <v>921</v>
      </c>
    </row>
  </sheetData>
  <mergeCells count="1">
    <mergeCell ref="E1:I1"/>
  </mergeCells>
  <pageMargins left="0.75" right="0.75" top="1" bottom="1" header="0.5" footer="0.5"/>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18"/>
  <sheetViews>
    <sheetView zoomScale="120" zoomScaleNormal="120" workbookViewId="0">
      <pane xSplit="1" ySplit="1" topLeftCell="B2" activePane="bottomRight" state="frozen"/>
      <selection pane="topRight" activeCell="B1" sqref="B1"/>
      <selection pane="bottomLeft" activeCell="A2" sqref="A2"/>
      <selection pane="bottomRight" activeCell="H7" sqref="H7"/>
    </sheetView>
  </sheetViews>
  <sheetFormatPr baseColWidth="10" defaultRowHeight="15"/>
  <cols>
    <col min="1" max="1" width="24.140625" bestFit="1" customWidth="1"/>
    <col min="2" max="4" width="11.42578125" customWidth="1"/>
    <col min="7" max="9" width="11.42578125" style="64"/>
  </cols>
  <sheetData>
    <row r="1" spans="1:9" s="64" customFormat="1" ht="15.75" thickTop="1">
      <c r="A1" s="282"/>
      <c r="B1" s="283">
        <f>+'Anexo 4 - FCL'!B1</f>
        <v>2007</v>
      </c>
      <c r="C1" s="283">
        <f>+'Anexo 4 - FCL'!C1</f>
        <v>2008</v>
      </c>
      <c r="D1" s="283">
        <f>+'Anexo 4 - FCL'!D1</f>
        <v>2009</v>
      </c>
      <c r="E1" s="696">
        <f>+'Anexo 4 - FCL'!E1</f>
        <v>2010</v>
      </c>
      <c r="F1" s="790">
        <f>+'Anexo 4 - FCL'!F1</f>
        <v>2011</v>
      </c>
      <c r="G1" s="790">
        <f>+'Anexo 4 - FCL'!G1</f>
        <v>2012</v>
      </c>
      <c r="H1" s="790">
        <v>2013</v>
      </c>
      <c r="I1" s="791">
        <v>2014</v>
      </c>
    </row>
    <row r="2" spans="1:9">
      <c r="A2" s="284" t="s">
        <v>54</v>
      </c>
      <c r="B2" s="273">
        <f>+'Anexo 4 - FCL'!B2*(1-'Anexo 4 - FCL'!$K$1)</f>
        <v>9875.9762099999989</v>
      </c>
      <c r="C2" s="273">
        <f>+'Anexo 4 - FCL'!C2*(1-'Anexo 4 - FCL'!$K$1)</f>
        <v>13872.18786</v>
      </c>
      <c r="D2" s="273">
        <f>+'Anexo 4 - FCL'!D2*(1-'Anexo 4 - FCL'!$K$1)</f>
        <v>13578.102749999998</v>
      </c>
      <c r="E2" s="273">
        <f>+'Anexo 4 - FCL'!E2*(1-'Anexo 4 - FCL'!$K$1)</f>
        <v>15862.389359999997</v>
      </c>
      <c r="F2" s="643">
        <f>+'Anexo 4 - FCL'!F2*(1-'Anexo 4 - FCL'!$K$1)</f>
        <v>13083.803549999997</v>
      </c>
      <c r="G2" s="643">
        <f>+'Anexo 4 - FCL'!G2*(1-'Anexo 4 - FCL'!$K$1)</f>
        <v>14799.971029999997</v>
      </c>
      <c r="H2" s="643">
        <f>+'Anexo 4 - FCL'!H2*(1-'Anexo 4 - FCL'!$K$1)</f>
        <v>12153.733000000004</v>
      </c>
      <c r="I2" s="285">
        <f>+'Anexo 4 - FCL'!I2*(1-'Anexo 4 - FCL'!$K$1)</f>
        <v>8645.6532000000007</v>
      </c>
    </row>
    <row r="3" spans="1:9">
      <c r="A3" s="284" t="s">
        <v>428</v>
      </c>
      <c r="B3" s="274">
        <f>+'Estados Financieros'!B91</f>
        <v>57698.875</v>
      </c>
      <c r="C3" s="274">
        <f>+'Estados Financieros'!C91</f>
        <v>73569.646999999997</v>
      </c>
      <c r="D3" s="274">
        <f>+'Estados Financieros'!D91</f>
        <v>75802.016000000003</v>
      </c>
      <c r="E3" s="274">
        <f>+'Estados Financieros'!E91</f>
        <v>65102.270000000004</v>
      </c>
      <c r="F3" s="644">
        <f>+'Estados Financieros'!F91</f>
        <v>69884.407999999996</v>
      </c>
      <c r="G3" s="644">
        <f>+'Estados Financieros'!G91</f>
        <v>32532.269999999997</v>
      </c>
      <c r="H3" s="644">
        <f>+'Estados Financieros'!H91</f>
        <v>30342</v>
      </c>
      <c r="I3" s="286">
        <f>+'Estados Financieros'!I91</f>
        <v>31233.253000000012</v>
      </c>
    </row>
    <row r="4" spans="1:9">
      <c r="A4" s="284" t="s">
        <v>89</v>
      </c>
      <c r="B4" s="274">
        <f>+'Estados Financieros'!B92</f>
        <v>0</v>
      </c>
      <c r="C4" s="274">
        <f>+'Estados Financieros'!C92</f>
        <v>0</v>
      </c>
      <c r="D4" s="274">
        <f>+'Estados Financieros'!D92</f>
        <v>0</v>
      </c>
      <c r="E4" s="274">
        <f>+'Estados Financieros'!E92</f>
        <v>0</v>
      </c>
      <c r="F4" s="644">
        <f>+'Estados Financieros'!F92</f>
        <v>0</v>
      </c>
      <c r="G4" s="644">
        <f>+'Estados Financieros'!G92</f>
        <v>1276.5730000000001</v>
      </c>
      <c r="H4" s="644">
        <f>+'Estados Financieros'!H92</f>
        <v>283</v>
      </c>
      <c r="I4" s="286">
        <f>+'Estados Financieros'!I92</f>
        <v>0</v>
      </c>
    </row>
    <row r="5" spans="1:9">
      <c r="A5" s="284" t="s">
        <v>429</v>
      </c>
      <c r="B5" s="275">
        <f>+'Anexo 4 - FCL'!B20*(1-'Anexo 4 - FCL'!$K$1)</f>
        <v>0</v>
      </c>
      <c r="C5" s="275">
        <f>+'Anexo 4 - FCL'!C20*(1-'Anexo 4 - FCL'!$K$1)</f>
        <v>0</v>
      </c>
      <c r="D5" s="275">
        <f>+'Anexo 4 - FCL'!D20*(1-'Anexo 4 - FCL'!$K$1)</f>
        <v>0</v>
      </c>
      <c r="E5" s="275">
        <f>+'Anexo 4 - FCL'!E20*(1-'Anexo 4 - FCL'!$K$1)</f>
        <v>0</v>
      </c>
      <c r="F5" s="645">
        <f>+'Anexo 4 - FCL'!F20*(1-'Anexo 4 - FCL'!$K$1)</f>
        <v>0</v>
      </c>
      <c r="G5" s="645">
        <f>+'Anexo 4 - FCL'!G20*(1-'Anexo 4 - FCL'!$K$1)</f>
        <v>2.6242134214024576E-2</v>
      </c>
      <c r="H5" s="645">
        <f>+'Anexo 4 - FCL'!H20*(1-'Anexo 4 - FCL'!$K$1)</f>
        <v>2.5776286201415382E-3</v>
      </c>
      <c r="I5" s="287">
        <f>+'Anexo 4 - FCL'!I20*(1-'Anexo 4 - FCL'!$K$1)</f>
        <v>9.4699646643109526E-3</v>
      </c>
    </row>
    <row r="6" spans="1:9">
      <c r="A6" s="284" t="s">
        <v>90</v>
      </c>
      <c r="B6" s="274">
        <f>+'Estados Financieros'!B93</f>
        <v>57698.875</v>
      </c>
      <c r="C6" s="274">
        <f>+'Estados Financieros'!C93</f>
        <v>73569.646999999997</v>
      </c>
      <c r="D6" s="274">
        <f>+'Estados Financieros'!D93</f>
        <v>75802.016000000003</v>
      </c>
      <c r="E6" s="274">
        <f>+'Estados Financieros'!E93</f>
        <v>65102.27</v>
      </c>
      <c r="F6" s="644">
        <f>+'Estados Financieros'!F93</f>
        <v>69884.407999999996</v>
      </c>
      <c r="G6" s="644">
        <f>+'Estados Financieros'!G93</f>
        <v>31255.697</v>
      </c>
      <c r="H6" s="644">
        <f>+'Estados Financieros'!H93</f>
        <v>30059</v>
      </c>
      <c r="I6" s="286">
        <f>+'Estados Financieros'!I93</f>
        <v>31233.253000000001</v>
      </c>
    </row>
    <row r="7" spans="1:9">
      <c r="A7" s="284" t="s">
        <v>430</v>
      </c>
      <c r="B7" s="276">
        <v>0.14000000000000001</v>
      </c>
      <c r="C7" s="276">
        <v>0.14000000000000001</v>
      </c>
      <c r="D7" s="276">
        <v>0.14000000000000001</v>
      </c>
      <c r="E7" s="276">
        <v>0.14000000000000001</v>
      </c>
      <c r="F7" s="646">
        <v>0.14000000000000001</v>
      </c>
      <c r="G7" s="646">
        <v>0.14000000000000001</v>
      </c>
      <c r="H7" s="646">
        <v>0.14000000000000001</v>
      </c>
      <c r="I7" s="156">
        <v>0.14000000000000001</v>
      </c>
    </row>
    <row r="8" spans="1:9" s="64" customFormat="1">
      <c r="A8" s="284" t="s">
        <v>433</v>
      </c>
      <c r="B8" s="273">
        <f t="shared" ref="B8:G8" si="0">+B4+B6</f>
        <v>57698.875</v>
      </c>
      <c r="C8" s="273">
        <f t="shared" si="0"/>
        <v>73569.646999999997</v>
      </c>
      <c r="D8" s="273">
        <f t="shared" si="0"/>
        <v>75802.016000000003</v>
      </c>
      <c r="E8" s="273">
        <f t="shared" si="0"/>
        <v>65102.27</v>
      </c>
      <c r="F8" s="643">
        <f t="shared" si="0"/>
        <v>69884.407999999996</v>
      </c>
      <c r="G8" s="643">
        <f t="shared" si="0"/>
        <v>32532.27</v>
      </c>
      <c r="H8" s="643">
        <f>+H4+H6</f>
        <v>30342</v>
      </c>
      <c r="I8" s="285">
        <f>+I4+I6</f>
        <v>31233.253000000001</v>
      </c>
    </row>
    <row r="9" spans="1:9" s="64" customFormat="1">
      <c r="A9" s="284" t="s">
        <v>434</v>
      </c>
      <c r="B9" s="277">
        <f t="shared" ref="B9:G9" si="1">+B4/B8</f>
        <v>0</v>
      </c>
      <c r="C9" s="277">
        <f t="shared" si="1"/>
        <v>0</v>
      </c>
      <c r="D9" s="277">
        <f t="shared" si="1"/>
        <v>0</v>
      </c>
      <c r="E9" s="277">
        <f t="shared" si="1"/>
        <v>0</v>
      </c>
      <c r="F9" s="647">
        <f t="shared" si="1"/>
        <v>0</v>
      </c>
      <c r="G9" s="647">
        <f t="shared" si="1"/>
        <v>3.9240206723969773E-2</v>
      </c>
      <c r="H9" s="647">
        <f>+H4/H8</f>
        <v>9.3270054709643398E-3</v>
      </c>
      <c r="I9" s="158">
        <f>+I4/I8</f>
        <v>0</v>
      </c>
    </row>
    <row r="10" spans="1:9" s="64" customFormat="1">
      <c r="A10" s="284" t="s">
        <v>435</v>
      </c>
      <c r="B10" s="277">
        <f t="shared" ref="B10:G10" si="2">+B6/B8</f>
        <v>1</v>
      </c>
      <c r="C10" s="277">
        <f t="shared" si="2"/>
        <v>1</v>
      </c>
      <c r="D10" s="277">
        <f t="shared" si="2"/>
        <v>1</v>
      </c>
      <c r="E10" s="277">
        <f t="shared" si="2"/>
        <v>1</v>
      </c>
      <c r="F10" s="647">
        <f t="shared" si="2"/>
        <v>1</v>
      </c>
      <c r="G10" s="647">
        <f t="shared" si="2"/>
        <v>0.96075979327603023</v>
      </c>
      <c r="H10" s="647">
        <f>+H6/H8</f>
        <v>0.99067299452903568</v>
      </c>
      <c r="I10" s="158">
        <f>+I6/I8</f>
        <v>1</v>
      </c>
    </row>
    <row r="11" spans="1:9">
      <c r="A11" s="284" t="s">
        <v>431</v>
      </c>
      <c r="B11" s="753">
        <f t="shared" ref="B11:I11" si="3">+B9*B5+B10*B7</f>
        <v>0.14000000000000001</v>
      </c>
      <c r="C11" s="278">
        <f t="shared" si="3"/>
        <v>0.14000000000000001</v>
      </c>
      <c r="D11" s="278">
        <f t="shared" si="3"/>
        <v>0.14000000000000001</v>
      </c>
      <c r="E11" s="278">
        <f t="shared" si="3"/>
        <v>0.14000000000000001</v>
      </c>
      <c r="F11" s="648">
        <f t="shared" si="3"/>
        <v>0.14000000000000001</v>
      </c>
      <c r="G11" s="648">
        <f t="shared" si="3"/>
        <v>0.13553611783008074</v>
      </c>
      <c r="H11" s="648">
        <f t="shared" si="3"/>
        <v>0.13871826079030716</v>
      </c>
      <c r="I11" s="288">
        <f t="shared" si="3"/>
        <v>0.14000000000000001</v>
      </c>
    </row>
    <row r="12" spans="1:9">
      <c r="A12" s="284" t="s">
        <v>432</v>
      </c>
      <c r="B12" s="279">
        <f t="shared" ref="B12:G12" si="4">+B2-(B11*B3)</f>
        <v>1798.1337099999982</v>
      </c>
      <c r="C12" s="279">
        <f t="shared" si="4"/>
        <v>3572.4372800000001</v>
      </c>
      <c r="D12" s="279">
        <f t="shared" si="4"/>
        <v>2965.8205099999959</v>
      </c>
      <c r="E12" s="279">
        <f t="shared" si="4"/>
        <v>6748.0715599999967</v>
      </c>
      <c r="F12" s="649">
        <f t="shared" si="4"/>
        <v>3299.9864299999972</v>
      </c>
      <c r="G12" s="649">
        <f t="shared" si="4"/>
        <v>10390.673449999997</v>
      </c>
      <c r="H12" s="649">
        <f>+H2-(H11*H3)</f>
        <v>7944.7435311005038</v>
      </c>
      <c r="I12" s="289">
        <f>+I2-(I11*I3)</f>
        <v>4272.9977799999988</v>
      </c>
    </row>
    <row r="13" spans="1:9">
      <c r="A13" s="290"/>
      <c r="B13" s="272"/>
      <c r="C13" s="272"/>
      <c r="D13" s="272"/>
      <c r="E13" s="272"/>
      <c r="F13" s="576"/>
      <c r="G13" s="576"/>
      <c r="H13" s="576"/>
      <c r="I13" s="155"/>
    </row>
    <row r="14" spans="1:9">
      <c r="A14" s="284" t="s">
        <v>436</v>
      </c>
      <c r="B14" s="275">
        <f t="shared" ref="B14:G14" si="5">+B2/B3</f>
        <v>0.17116410345955616</v>
      </c>
      <c r="C14" s="275">
        <f t="shared" si="5"/>
        <v>0.18855857579417229</v>
      </c>
      <c r="D14" s="275">
        <f t="shared" si="5"/>
        <v>0.17912587905313757</v>
      </c>
      <c r="E14" s="275">
        <f t="shared" si="5"/>
        <v>0.24365339887533871</v>
      </c>
      <c r="F14" s="645">
        <f t="shared" si="5"/>
        <v>0.18722063940213957</v>
      </c>
      <c r="G14" s="645">
        <f t="shared" si="5"/>
        <v>0.45493201150734325</v>
      </c>
      <c r="H14" s="645">
        <f>+H2/H3</f>
        <v>0.40055807132028226</v>
      </c>
      <c r="I14" s="287">
        <f>+I2/I3</f>
        <v>0.27680924558194425</v>
      </c>
    </row>
    <row r="15" spans="1:9">
      <c r="A15" s="284" t="s">
        <v>439</v>
      </c>
      <c r="B15" s="278">
        <f t="shared" ref="B15:G15" si="6">+B14-B5</f>
        <v>0.17116410345955616</v>
      </c>
      <c r="C15" s="278">
        <f t="shared" si="6"/>
        <v>0.18855857579417229</v>
      </c>
      <c r="D15" s="278">
        <f t="shared" si="6"/>
        <v>0.17912587905313757</v>
      </c>
      <c r="E15" s="278">
        <f t="shared" si="6"/>
        <v>0.24365339887533871</v>
      </c>
      <c r="F15" s="648">
        <f t="shared" si="6"/>
        <v>0.18722063940213957</v>
      </c>
      <c r="G15" s="648">
        <f t="shared" si="6"/>
        <v>0.42868987729331864</v>
      </c>
      <c r="H15" s="648">
        <f>+H14-H5</f>
        <v>0.39798044270014071</v>
      </c>
      <c r="I15" s="288">
        <f>+I14-I5</f>
        <v>0.26733928091763332</v>
      </c>
    </row>
    <row r="16" spans="1:9">
      <c r="A16" s="284" t="s">
        <v>437</v>
      </c>
      <c r="B16" s="279">
        <f t="shared" ref="B16:G16" si="7">+B4/B6</f>
        <v>0</v>
      </c>
      <c r="C16" s="279">
        <f t="shared" si="7"/>
        <v>0</v>
      </c>
      <c r="D16" s="279">
        <f t="shared" si="7"/>
        <v>0</v>
      </c>
      <c r="E16" s="279">
        <f t="shared" si="7"/>
        <v>0</v>
      </c>
      <c r="F16" s="649">
        <f t="shared" si="7"/>
        <v>0</v>
      </c>
      <c r="G16" s="649">
        <f t="shared" si="7"/>
        <v>4.0842890177749037E-2</v>
      </c>
      <c r="H16" s="649">
        <f>+H4/H6</f>
        <v>9.4148175255331177E-3</v>
      </c>
      <c r="I16" s="289">
        <f>+I4/I6</f>
        <v>0</v>
      </c>
    </row>
    <row r="17" spans="1:9" ht="15.75" thickBot="1">
      <c r="A17" s="291" t="s">
        <v>438</v>
      </c>
      <c r="B17" s="292">
        <f t="shared" ref="B17:G17" si="8">+B14+(B15*B16)</f>
        <v>0.17116410345955616</v>
      </c>
      <c r="C17" s="292">
        <f t="shared" si="8"/>
        <v>0.18855857579417229</v>
      </c>
      <c r="D17" s="292">
        <f t="shared" si="8"/>
        <v>0.17912587905313757</v>
      </c>
      <c r="E17" s="292">
        <f t="shared" si="8"/>
        <v>0.24365339887533871</v>
      </c>
      <c r="F17" s="650">
        <f t="shared" si="8"/>
        <v>0.18722063940213957</v>
      </c>
      <c r="G17" s="650">
        <f t="shared" si="8"/>
        <v>0.47244094508594697</v>
      </c>
      <c r="H17" s="650">
        <f>+H14+(H15*H16)</f>
        <v>0.40430498456703495</v>
      </c>
      <c r="I17" s="293">
        <f>+I14+(I15*I16)</f>
        <v>0.27680924558194425</v>
      </c>
    </row>
    <row r="18" spans="1:9" ht="15.75" thickTop="1"/>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66:G183"/>
  <sheetViews>
    <sheetView topLeftCell="A19" zoomScale="110" zoomScaleNormal="110" workbookViewId="0">
      <selection activeCell="E1" sqref="E1"/>
    </sheetView>
  </sheetViews>
  <sheetFormatPr baseColWidth="10" defaultRowHeight="15"/>
  <cols>
    <col min="1" max="1" width="16.42578125" customWidth="1"/>
    <col min="5" max="5" width="14.140625" customWidth="1"/>
    <col min="6" max="6" width="14.42578125" customWidth="1"/>
  </cols>
  <sheetData>
    <row r="66" s="64" customFormat="1"/>
    <row r="67" s="64" customFormat="1"/>
    <row r="68" s="64" customFormat="1"/>
    <row r="69" s="64" customFormat="1"/>
    <row r="70" s="64" customFormat="1"/>
    <row r="71" s="64" customFormat="1"/>
    <row r="72" s="64" customFormat="1"/>
    <row r="73" s="64" customFormat="1"/>
    <row r="74" s="64" customFormat="1"/>
    <row r="75" s="64" customFormat="1"/>
    <row r="76" s="64" customFormat="1"/>
    <row r="77" s="64" customFormat="1"/>
    <row r="78" s="64" customFormat="1"/>
    <row r="79" s="64" customFormat="1"/>
    <row r="86" spans="1:7" s="64" customFormat="1"/>
    <row r="87" spans="1:7" s="64" customFormat="1"/>
    <row r="88" spans="1:7" s="64" customFormat="1"/>
    <row r="89" spans="1:7" s="64" customFormat="1"/>
    <row r="90" spans="1:7" s="64" customFormat="1"/>
    <row r="95" spans="1:7" ht="25.5">
      <c r="A95" s="495"/>
      <c r="B95" s="496">
        <v>2010</v>
      </c>
      <c r="C95" s="496">
        <v>2013</v>
      </c>
      <c r="D95" s="496">
        <v>2014</v>
      </c>
      <c r="E95" s="496" t="s">
        <v>657</v>
      </c>
      <c r="F95" s="496" t="s">
        <v>923</v>
      </c>
      <c r="G95" s="496" t="s">
        <v>658</v>
      </c>
    </row>
    <row r="96" spans="1:7">
      <c r="A96" s="497" t="s">
        <v>110</v>
      </c>
      <c r="B96" s="315">
        <f>+'Anexo 1 - Balance'!F3</f>
        <v>0</v>
      </c>
      <c r="C96" s="315">
        <f>+'Anexo 1 - Balance'!I3</f>
        <v>28</v>
      </c>
      <c r="D96" s="315">
        <f>+'Anexo 1 - Balance'!J3</f>
        <v>23.427</v>
      </c>
      <c r="E96" s="494">
        <f>+D96/$D$100</f>
        <v>3.1262406312531983E-3</v>
      </c>
      <c r="F96" s="502">
        <f>+(D96/C96)-1</f>
        <v>-0.16332142857142862</v>
      </c>
      <c r="G96" s="502">
        <f>+IFERROR((D96/B96)-1,0)</f>
        <v>0</v>
      </c>
    </row>
    <row r="97" spans="1:7">
      <c r="A97" s="497" t="s">
        <v>111</v>
      </c>
      <c r="B97" s="315">
        <f>+'Anexo 1 - Balance'!F4</f>
        <v>1187.9349999999999</v>
      </c>
      <c r="C97" s="315">
        <f>+'Anexo 1 - Balance'!I4</f>
        <v>740</v>
      </c>
      <c r="D97" s="315">
        <f>+'Anexo 1 - Balance'!J4</f>
        <v>754.45899999999995</v>
      </c>
      <c r="E97" s="494">
        <f>+D97/$D$100</f>
        <v>0.10067957401351674</v>
      </c>
      <c r="F97" s="502">
        <f>+(D97/C97)-1</f>
        <v>1.9539189189189177E-2</v>
      </c>
      <c r="G97" s="502">
        <f>+(D97/B97)-1</f>
        <v>-0.3648987528778932</v>
      </c>
    </row>
    <row r="98" spans="1:7" ht="25.5">
      <c r="A98" s="497" t="s">
        <v>112</v>
      </c>
      <c r="B98" s="315">
        <f>+'Anexo 1 - Balance'!F6</f>
        <v>10105.749</v>
      </c>
      <c r="C98" s="315">
        <f>+'Anexo 1 - Balance'!I6</f>
        <v>11062</v>
      </c>
      <c r="D98" s="315">
        <f>+'Anexo 1 - Balance'!J6</f>
        <v>6709.92</v>
      </c>
      <c r="E98" s="494">
        <f>+D98/$D$100</f>
        <v>0.89541232494380241</v>
      </c>
      <c r="F98" s="502">
        <f>+(D98/C98)-1</f>
        <v>-0.39342614355451089</v>
      </c>
      <c r="G98" s="502">
        <f>+(D98/B98)-1</f>
        <v>-0.33602942246042322</v>
      </c>
    </row>
    <row r="99" spans="1:7">
      <c r="A99" s="497" t="s">
        <v>113</v>
      </c>
      <c r="B99" s="315">
        <f>+'Anexo 1 - Balance'!F7</f>
        <v>3.0819999999999999</v>
      </c>
      <c r="C99" s="315">
        <f>+'Anexo 1 - Balance'!I7</f>
        <v>2</v>
      </c>
      <c r="D99" s="315">
        <f>+'Anexo 1 - Balance'!J7</f>
        <v>5.859</v>
      </c>
      <c r="E99" s="494">
        <f>+D99/$D$100</f>
        <v>7.8186041142751901E-4</v>
      </c>
      <c r="F99" s="502">
        <f>+(D99/C99)-1</f>
        <v>1.9295</v>
      </c>
      <c r="G99" s="502">
        <f>+(D99/B99)-1</f>
        <v>0.90103828682673592</v>
      </c>
    </row>
    <row r="100" spans="1:7" ht="25.5">
      <c r="A100" s="498" t="s">
        <v>114</v>
      </c>
      <c r="B100" s="317">
        <f>+SUM(B96:B99)</f>
        <v>11296.766</v>
      </c>
      <c r="C100" s="317">
        <f>+SUM(C96:C99)</f>
        <v>11832</v>
      </c>
      <c r="D100" s="317">
        <f>+SUM(D96:D99)</f>
        <v>7493.6650000000009</v>
      </c>
      <c r="E100" s="755">
        <f>+D100/$D$100</f>
        <v>1</v>
      </c>
      <c r="F100" s="503">
        <f>+(D100/C100)-1</f>
        <v>-0.36666117308992552</v>
      </c>
      <c r="G100" s="503">
        <f>+(D100/B100)-1</f>
        <v>-0.33665395919504737</v>
      </c>
    </row>
    <row r="101" spans="1:7" s="126" customFormat="1">
      <c r="A101" s="499"/>
      <c r="B101" s="534"/>
      <c r="C101" s="534"/>
      <c r="D101" s="534"/>
      <c r="E101" s="535"/>
      <c r="F101" s="536"/>
      <c r="G101" s="536"/>
    </row>
    <row r="102" spans="1:7" s="126" customFormat="1">
      <c r="A102" s="499"/>
      <c r="B102" s="534"/>
      <c r="C102" s="534"/>
      <c r="D102" s="534"/>
      <c r="E102" s="537"/>
      <c r="F102" s="538"/>
      <c r="G102" s="538"/>
    </row>
    <row r="103" spans="1:7" ht="25.5">
      <c r="A103" s="272"/>
      <c r="B103" s="496">
        <v>2010</v>
      </c>
      <c r="C103" s="496">
        <v>2013</v>
      </c>
      <c r="D103" s="496">
        <v>2014</v>
      </c>
      <c r="E103" s="496" t="s">
        <v>657</v>
      </c>
      <c r="F103" s="496" t="s">
        <v>923</v>
      </c>
      <c r="G103" s="496" t="s">
        <v>658</v>
      </c>
    </row>
    <row r="104" spans="1:7" ht="25.5">
      <c r="A104" s="497" t="s">
        <v>116</v>
      </c>
      <c r="B104" s="315">
        <f>+'Anexo 1 - Balance'!F10</f>
        <v>18443.396000000001</v>
      </c>
      <c r="C104" s="315">
        <f>+'Anexo 1 - Balance'!I10</f>
        <v>22303</v>
      </c>
      <c r="D104" s="315">
        <f>+'Anexo 1 - Balance'!J10</f>
        <v>28630.945</v>
      </c>
      <c r="E104" s="494">
        <f t="shared" ref="E104:E109" si="0">+D104/$D$109</f>
        <v>0.36400755401990037</v>
      </c>
      <c r="F104" s="502">
        <f>+(D104/C104)-1</f>
        <v>0.28372618033448416</v>
      </c>
      <c r="G104" s="502">
        <f t="shared" ref="G104:G109" si="1">+(D104/B104)-1</f>
        <v>0.55236839245874236</v>
      </c>
    </row>
    <row r="105" spans="1:7" ht="38.25">
      <c r="A105" s="497" t="s">
        <v>117</v>
      </c>
      <c r="B105" s="315">
        <f>+'Anexo 1 - Balance'!F11</f>
        <v>13234.896000000001</v>
      </c>
      <c r="C105" s="315">
        <f>+'Anexo 1 - Balance'!I11</f>
        <v>25147</v>
      </c>
      <c r="D105" s="315">
        <f>+'Anexo 1 - Balance'!J11</f>
        <v>41340.127</v>
      </c>
      <c r="E105" s="494">
        <f t="shared" si="0"/>
        <v>0.52558930598141429</v>
      </c>
      <c r="F105" s="502">
        <f>+IFERROR((D105/C105)-1,0)</f>
        <v>0.64393872032449195</v>
      </c>
      <c r="G105" s="502">
        <f t="shared" si="1"/>
        <v>2.1235702192144159</v>
      </c>
    </row>
    <row r="106" spans="1:7" ht="25.5">
      <c r="A106" s="497" t="s">
        <v>133</v>
      </c>
      <c r="B106" s="315">
        <f>+'Anexo 1 - Balance'!F27</f>
        <v>600.024</v>
      </c>
      <c r="C106" s="315">
        <f>+'Anexo 1 - Balance'!I27</f>
        <v>2803</v>
      </c>
      <c r="D106" s="315">
        <f>+'Anexo 1 - Balance'!J27</f>
        <v>8420.9030000000002</v>
      </c>
      <c r="E106" s="494">
        <f t="shared" si="0"/>
        <v>0.10706151346624575</v>
      </c>
      <c r="F106" s="502">
        <f>+(D106/C106)-1</f>
        <v>2.0042465215840171</v>
      </c>
      <c r="G106" s="502">
        <f t="shared" si="1"/>
        <v>13.034276962254843</v>
      </c>
    </row>
    <row r="107" spans="1:7" ht="25.5">
      <c r="A107" s="497" t="s">
        <v>135</v>
      </c>
      <c r="B107" s="315">
        <f>+'Anexo 1 - Balance'!F29</f>
        <v>460.67099999999999</v>
      </c>
      <c r="C107" s="315">
        <f>+'Anexo 1 - Balance'!I29</f>
        <v>0</v>
      </c>
      <c r="D107" s="315">
        <f>+'Anexo 1 - Balance'!J29</f>
        <v>0</v>
      </c>
      <c r="E107" s="494">
        <f t="shared" si="0"/>
        <v>0</v>
      </c>
      <c r="F107" s="502">
        <f>++IFERROR((D107/C107)-1,0)</f>
        <v>0</v>
      </c>
      <c r="G107" s="502">
        <f t="shared" si="1"/>
        <v>-1</v>
      </c>
    </row>
    <row r="108" spans="1:7" ht="25.5">
      <c r="A108" s="497" t="s">
        <v>136</v>
      </c>
      <c r="B108" s="315">
        <f>+'Anexo 1 - Balance'!F30</f>
        <v>462.40600000000001</v>
      </c>
      <c r="C108" s="315">
        <f>+'Anexo 1 - Balance'!I30</f>
        <v>0</v>
      </c>
      <c r="D108" s="315">
        <f>+'Anexo 1 - Balance'!J30</f>
        <v>0</v>
      </c>
      <c r="E108" s="494">
        <f t="shared" si="0"/>
        <v>0</v>
      </c>
      <c r="F108" s="502">
        <f>+IFERROR((D108/C108)-1,0)</f>
        <v>0</v>
      </c>
      <c r="G108" s="502">
        <f t="shared" si="1"/>
        <v>-1</v>
      </c>
    </row>
    <row r="109" spans="1:7" ht="25.5">
      <c r="A109" s="498" t="s">
        <v>137</v>
      </c>
      <c r="B109" s="317">
        <f>+'Anexo 1 - Balance'!F31</f>
        <v>32478.819</v>
      </c>
      <c r="C109" s="317">
        <f>+'Anexo 1 - Balance'!I31</f>
        <v>50547</v>
      </c>
      <c r="D109" s="317">
        <f>+'Anexo 1 - Balance'!J31</f>
        <v>78654.81</v>
      </c>
      <c r="E109" s="501">
        <f t="shared" si="0"/>
        <v>1</v>
      </c>
      <c r="F109" s="503">
        <f>+(D109/C109)-1</f>
        <v>0.55607276396225291</v>
      </c>
      <c r="G109" s="503">
        <f t="shared" si="1"/>
        <v>1.4217262949123857</v>
      </c>
    </row>
    <row r="111" spans="1:7" s="64" customFormat="1" ht="25.5">
      <c r="A111" s="272"/>
      <c r="B111" s="496">
        <v>2010</v>
      </c>
      <c r="C111" s="496">
        <v>2013</v>
      </c>
      <c r="D111" s="496">
        <v>2014</v>
      </c>
      <c r="E111" s="496" t="s">
        <v>657</v>
      </c>
      <c r="F111" s="496" t="s">
        <v>923</v>
      </c>
      <c r="G111" s="496" t="s">
        <v>658</v>
      </c>
    </row>
    <row r="112" spans="1:7" s="64" customFormat="1" ht="25.5">
      <c r="A112" s="497" t="s">
        <v>156</v>
      </c>
      <c r="B112" s="315">
        <f>+'Anexo 1 - Balance'!F56</f>
        <v>46275.146000000001</v>
      </c>
      <c r="C112" s="315">
        <f>+'Anexo 1 - Balance'!I56</f>
        <v>65694</v>
      </c>
      <c r="D112" s="315">
        <f>+'Anexo 1 - Balance'!J56</f>
        <v>89168.369000000006</v>
      </c>
      <c r="E112" s="502">
        <f>+D112/$D$127</f>
        <v>0.92090122444717004</v>
      </c>
      <c r="F112" s="502">
        <f>+(D112/C112)-1</f>
        <v>0.35732896459341812</v>
      </c>
      <c r="G112" s="502">
        <f>+(D112/B112)-1</f>
        <v>0.92691707552905411</v>
      </c>
    </row>
    <row r="113" spans="1:7" s="64" customFormat="1" ht="25.5">
      <c r="A113" s="497" t="s">
        <v>162</v>
      </c>
      <c r="B113" s="315">
        <f>+'Anexo 1 - Balance'!F105</f>
        <v>55550.464999999997</v>
      </c>
      <c r="C113" s="315">
        <f>+'Anexo 1 - Balance'!I105</f>
        <v>8934</v>
      </c>
      <c r="D113" s="315">
        <f>+'Anexo 1 - Balance'!J105</f>
        <v>7658.92</v>
      </c>
      <c r="E113" s="502">
        <f>+D113/$D$127</f>
        <v>7.9098775552829945E-2</v>
      </c>
      <c r="F113" s="502">
        <f>+(D113/C113)-1</f>
        <v>-0.14272218491157374</v>
      </c>
      <c r="G113" s="502">
        <f>+(D113/B113)-1</f>
        <v>-0.86212680667929598</v>
      </c>
    </row>
    <row r="114" spans="1:7" s="64" customFormat="1">
      <c r="A114" s="498" t="s">
        <v>163</v>
      </c>
      <c r="B114" s="317">
        <f>+SUM(B112:B113)</f>
        <v>101825.611</v>
      </c>
      <c r="C114" s="317">
        <f>+SUM(C112:C113)</f>
        <v>74628</v>
      </c>
      <c r="D114" s="317">
        <f>+SUM(D112:D113)</f>
        <v>96827.289000000004</v>
      </c>
      <c r="E114" s="503">
        <f>+D114/$D$127</f>
        <v>1</v>
      </c>
      <c r="F114" s="503">
        <f>+(D114/C114)-1</f>
        <v>0.29746595111754304</v>
      </c>
      <c r="G114" s="503">
        <f>+(D114/B114)-1</f>
        <v>-4.9087080852380005E-2</v>
      </c>
    </row>
    <row r="115" spans="1:7" s="64" customFormat="1"/>
    <row r="116" spans="1:7" s="64" customFormat="1"/>
    <row r="117" spans="1:7" s="64" customFormat="1">
      <c r="A117" s="17" t="s">
        <v>700</v>
      </c>
      <c r="D117" s="169">
        <f>+'Anexo - Balance Sector '!I26</f>
        <v>3680279</v>
      </c>
      <c r="E117" s="562">
        <f>+D114/D117</f>
        <v>2.6309768634388862E-2</v>
      </c>
    </row>
    <row r="118" spans="1:7" s="64" customFormat="1"/>
    <row r="119" spans="1:7" s="64" customFormat="1"/>
    <row r="120" spans="1:7" ht="25.5">
      <c r="A120" s="272"/>
      <c r="B120" s="496">
        <v>2010</v>
      </c>
      <c r="C120" s="496">
        <v>2013</v>
      </c>
      <c r="D120" s="496">
        <v>2014</v>
      </c>
      <c r="E120" s="496" t="s">
        <v>657</v>
      </c>
      <c r="F120" s="496" t="s">
        <v>923</v>
      </c>
      <c r="G120" s="496" t="s">
        <v>658</v>
      </c>
    </row>
    <row r="121" spans="1:7" ht="25.5">
      <c r="A121" s="497" t="s">
        <v>114</v>
      </c>
      <c r="B121" s="315">
        <f>+'Anexo 1 - Balance'!F8</f>
        <v>11296.766</v>
      </c>
      <c r="C121" s="315">
        <f>+'Anexo 1 - Balance'!I8</f>
        <v>11832</v>
      </c>
      <c r="D121" s="315">
        <f>+'Anexo 1 - Balance'!J8</f>
        <v>7493.665</v>
      </c>
      <c r="E121" s="502">
        <f t="shared" ref="E121:E127" si="2">+D121/$D$127</f>
        <v>7.7392076938144982E-2</v>
      </c>
      <c r="F121" s="502">
        <f t="shared" ref="F121:F127" si="3">+(D121/C121)-1</f>
        <v>-0.36666117308992563</v>
      </c>
      <c r="G121" s="502">
        <f t="shared" ref="G121:G127" si="4">+(D121/B121)-1</f>
        <v>-0.33665395919504748</v>
      </c>
    </row>
    <row r="122" spans="1:7" ht="25.5">
      <c r="A122" s="497" t="s">
        <v>137</v>
      </c>
      <c r="B122" s="315">
        <f>+'Anexo 1 - Balance'!F31</f>
        <v>32478.819</v>
      </c>
      <c r="C122" s="315">
        <f>+'Anexo 1 - Balance'!I31</f>
        <v>50547</v>
      </c>
      <c r="D122" s="315">
        <f>+'Anexo 1 - Balance'!J31</f>
        <v>78654.81</v>
      </c>
      <c r="E122" s="502">
        <f t="shared" si="2"/>
        <v>0.81232068781766675</v>
      </c>
      <c r="F122" s="502">
        <f t="shared" si="3"/>
        <v>0.55607276396225291</v>
      </c>
      <c r="G122" s="502">
        <f t="shared" si="4"/>
        <v>1.4217262949123857</v>
      </c>
    </row>
    <row r="123" spans="1:7" ht="25.5">
      <c r="A123" s="497" t="s">
        <v>155</v>
      </c>
      <c r="B123" s="315">
        <f>+'Anexo 1 - Balance'!F55</f>
        <v>2499.5610000000001</v>
      </c>
      <c r="C123" s="315">
        <f>+'Anexo 1 - Balance'!I55</f>
        <v>3316</v>
      </c>
      <c r="D123" s="315">
        <f>+'Anexo 1 - Balance'!J55</f>
        <v>3019.8939999999998</v>
      </c>
      <c r="E123" s="502">
        <f t="shared" si="2"/>
        <v>3.1188459691358288E-2</v>
      </c>
      <c r="F123" s="502">
        <f t="shared" si="3"/>
        <v>-8.9296139927623752E-2</v>
      </c>
      <c r="G123" s="502">
        <f t="shared" si="4"/>
        <v>0.20816975460890919</v>
      </c>
    </row>
    <row r="124" spans="1:7" ht="38.25">
      <c r="A124" s="497" t="s">
        <v>158</v>
      </c>
      <c r="B124" s="315">
        <f>+'Anexo 1 - Balance'!F78</f>
        <v>50725.718999999997</v>
      </c>
      <c r="C124" s="315">
        <f>+'Anexo 1 - Balance'!I78</f>
        <v>2493</v>
      </c>
      <c r="D124" s="315">
        <f>+'Anexo 1 - Balance'!J78</f>
        <v>2458.8049999999998</v>
      </c>
      <c r="E124" s="502">
        <f t="shared" si="2"/>
        <v>2.5393719326377091E-2</v>
      </c>
      <c r="F124" s="502">
        <f t="shared" si="3"/>
        <v>-1.37164059366226E-2</v>
      </c>
      <c r="G124" s="502">
        <f t="shared" si="4"/>
        <v>-0.95152744902442876</v>
      </c>
    </row>
    <row r="125" spans="1:7" ht="38.25">
      <c r="A125" s="497" t="s">
        <v>159</v>
      </c>
      <c r="B125" s="315">
        <f>+'Anexo 1 - Balance'!F79</f>
        <v>4343.4449999999997</v>
      </c>
      <c r="C125" s="315">
        <f>+'Anexo 1 - Balance'!I79</f>
        <v>4307</v>
      </c>
      <c r="D125" s="315">
        <f>+'Anexo 1 - Balance'!J79</f>
        <v>3245.2919999999999</v>
      </c>
      <c r="E125" s="502">
        <f t="shared" si="2"/>
        <v>3.3516295184098356E-2</v>
      </c>
      <c r="F125" s="502">
        <f t="shared" si="3"/>
        <v>-0.24650754585558399</v>
      </c>
      <c r="G125" s="502">
        <f t="shared" si="4"/>
        <v>-0.25282995410325215</v>
      </c>
    </row>
    <row r="126" spans="1:7" ht="25.5">
      <c r="A126" s="497" t="s">
        <v>161</v>
      </c>
      <c r="B126" s="315">
        <f>+'Anexo 1 - Balance'!F96</f>
        <v>337.80900000000003</v>
      </c>
      <c r="C126" s="315">
        <f>+'Anexo 1 - Balance'!I96</f>
        <v>784</v>
      </c>
      <c r="D126" s="315">
        <f>+'Anexo 1 - Balance'!J96</f>
        <v>790.61599999999999</v>
      </c>
      <c r="E126" s="502">
        <f t="shared" si="2"/>
        <v>8.165218794879199E-3</v>
      </c>
      <c r="F126" s="502">
        <f t="shared" si="3"/>
        <v>8.4387755102039996E-3</v>
      </c>
      <c r="G126" s="502">
        <f t="shared" si="4"/>
        <v>1.3404231385191037</v>
      </c>
    </row>
    <row r="127" spans="1:7">
      <c r="A127" s="498" t="s">
        <v>163</v>
      </c>
      <c r="B127" s="317">
        <f>+'Anexo 1 - Balance'!F106</f>
        <v>101825.611</v>
      </c>
      <c r="C127" s="317">
        <f>+'Anexo 1 - Balance'!I106</f>
        <v>74628</v>
      </c>
      <c r="D127" s="317">
        <f>+'Anexo 1 - Balance'!J106</f>
        <v>96827.289000000004</v>
      </c>
      <c r="E127" s="756">
        <f t="shared" si="2"/>
        <v>1</v>
      </c>
      <c r="F127" s="503">
        <f t="shared" si="3"/>
        <v>0.29746595111754304</v>
      </c>
      <c r="G127" s="503">
        <f t="shared" si="4"/>
        <v>-4.9087080852380005E-2</v>
      </c>
    </row>
    <row r="129" spans="1:7" ht="25.5">
      <c r="A129" s="272"/>
      <c r="B129" s="496">
        <v>2010</v>
      </c>
      <c r="C129" s="496">
        <v>2013</v>
      </c>
      <c r="D129" s="496">
        <v>2014</v>
      </c>
      <c r="E129" s="496" t="s">
        <v>657</v>
      </c>
      <c r="F129" s="496" t="s">
        <v>923</v>
      </c>
      <c r="G129" s="496" t="s">
        <v>658</v>
      </c>
    </row>
    <row r="130" spans="1:7" s="64" customFormat="1" ht="25.5">
      <c r="A130" s="497" t="s">
        <v>206</v>
      </c>
      <c r="B130" s="315">
        <f>+'Anexo 1 - Balance'!F157</f>
        <v>36723.341</v>
      </c>
      <c r="C130" s="315">
        <f>+'Anexo 1 - Balance'!I157</f>
        <v>44286</v>
      </c>
      <c r="D130" s="315">
        <f>+'Anexo 1 - Balance'!J157</f>
        <v>65594.035999999993</v>
      </c>
      <c r="E130" s="494">
        <f>+D130/$D$145</f>
        <v>1</v>
      </c>
      <c r="F130" s="494">
        <f>+(D130/C130)-1</f>
        <v>0.48114609583163959</v>
      </c>
      <c r="G130" s="494">
        <f>+(D130/B130)-1</f>
        <v>0.78616744048424114</v>
      </c>
    </row>
    <row r="131" spans="1:7" s="64" customFormat="1" ht="25.5">
      <c r="A131" s="497" t="s">
        <v>209</v>
      </c>
      <c r="B131" s="315">
        <f>+'Anexo 1 - Balance'!F205</f>
        <v>0</v>
      </c>
      <c r="C131" s="315">
        <f>+'Anexo 1 - Balance'!I205</f>
        <v>283</v>
      </c>
      <c r="D131" s="315">
        <f>+'Anexo 1 - Balance'!J205</f>
        <v>0</v>
      </c>
      <c r="E131" s="494">
        <f>+D131/$D$145</f>
        <v>0</v>
      </c>
      <c r="F131" s="494">
        <f>+(D131/C131)-1</f>
        <v>-1</v>
      </c>
      <c r="G131" s="494">
        <f>+IFERROR((D131/B131)-1,0)</f>
        <v>0</v>
      </c>
    </row>
    <row r="132" spans="1:7" s="64" customFormat="1">
      <c r="A132" s="498" t="s">
        <v>63</v>
      </c>
      <c r="B132" s="317">
        <f>+'Anexo 1 - Balance'!F206</f>
        <v>36723.341</v>
      </c>
      <c r="C132" s="317">
        <f>+'Anexo 1 - Balance'!I206</f>
        <v>44569</v>
      </c>
      <c r="D132" s="317">
        <f>+'Anexo 1 - Balance'!J206</f>
        <v>65594.035999999993</v>
      </c>
      <c r="E132" s="501">
        <f>+D132/$D$145</f>
        <v>1</v>
      </c>
      <c r="F132" s="501">
        <f>+(D132/C132)-1</f>
        <v>0.4717412551324911</v>
      </c>
      <c r="G132" s="501">
        <f>+(D132/B132)-1</f>
        <v>0.78616744048424114</v>
      </c>
    </row>
    <row r="133" spans="1:7" s="64" customFormat="1">
      <c r="A133" s="499"/>
      <c r="B133" s="534"/>
      <c r="C133" s="534"/>
      <c r="D133" s="534"/>
      <c r="E133" s="535"/>
      <c r="F133" s="535" t="s">
        <v>710</v>
      </c>
      <c r="G133" s="535"/>
    </row>
    <row r="134" spans="1:7" s="64" customFormat="1">
      <c r="A134" s="499"/>
      <c r="B134" s="534"/>
      <c r="C134" s="534"/>
      <c r="D134" s="534"/>
      <c r="E134" s="535"/>
      <c r="F134" s="535"/>
      <c r="G134" s="535"/>
    </row>
    <row r="135" spans="1:7" s="64" customFormat="1">
      <c r="A135" s="499" t="s">
        <v>701</v>
      </c>
      <c r="B135" s="534"/>
      <c r="C135" s="534"/>
      <c r="D135" s="169">
        <f>+'Anexo - Balance Sector '!I49</f>
        <v>2222508</v>
      </c>
      <c r="E135" s="535">
        <f>+D132/D135</f>
        <v>2.9513520761230101E-2</v>
      </c>
      <c r="F135" s="535"/>
      <c r="G135" s="535"/>
    </row>
    <row r="136" spans="1:7" s="64" customFormat="1">
      <c r="A136" s="499"/>
      <c r="B136" s="534"/>
      <c r="C136" s="534"/>
      <c r="D136" s="534"/>
      <c r="E136" s="535"/>
      <c r="F136" s="535"/>
      <c r="G136" s="535"/>
    </row>
    <row r="137" spans="1:7" s="64" customFormat="1"/>
    <row r="138" spans="1:7" ht="25.5">
      <c r="A138" s="272"/>
      <c r="B138" s="496">
        <v>2010</v>
      </c>
      <c r="C138" s="496">
        <v>2013</v>
      </c>
      <c r="D138" s="496">
        <v>2014</v>
      </c>
      <c r="E138" s="496" t="s">
        <v>657</v>
      </c>
      <c r="F138" s="496" t="s">
        <v>923</v>
      </c>
      <c r="G138" s="496" t="s">
        <v>658</v>
      </c>
    </row>
    <row r="139" spans="1:7" ht="25.5">
      <c r="A139" s="497" t="s">
        <v>660</v>
      </c>
      <c r="B139" s="315">
        <f>+'Anexo 1 - Balance'!F108</f>
        <v>1120.731</v>
      </c>
      <c r="C139" s="315">
        <f>+'Anexo 1 - Balance'!I108</f>
        <v>3811</v>
      </c>
      <c r="D139" s="315">
        <f>+'Anexo 1 - Balance'!J108</f>
        <v>3100.7890000000002</v>
      </c>
      <c r="E139" s="494">
        <f t="shared" ref="E139:E145" si="5">+D139/$D$145</f>
        <v>4.7272422755019992E-2</v>
      </c>
      <c r="F139" s="494">
        <f t="shared" ref="F139:F145" si="6">+(D139/C139)-1</f>
        <v>-0.18635817370768826</v>
      </c>
      <c r="G139" s="494">
        <f t="shared" ref="G139:G145" si="7">+(D139/B139)-1</f>
        <v>1.7667558049166128</v>
      </c>
    </row>
    <row r="140" spans="1:7" ht="38.25">
      <c r="A140" s="497" t="s">
        <v>182</v>
      </c>
      <c r="B140" s="315">
        <f>+'Anexo 1 - Balance'!F127</f>
        <v>19011.383000000002</v>
      </c>
      <c r="C140" s="315">
        <f>+'Anexo 1 - Balance'!I127</f>
        <v>23456</v>
      </c>
      <c r="D140" s="315">
        <f>+'Anexo 1 - Balance'!J127</f>
        <v>46494.622000000003</v>
      </c>
      <c r="E140" s="494">
        <f t="shared" si="5"/>
        <v>0.7088239241750578</v>
      </c>
      <c r="F140" s="494">
        <f t="shared" si="6"/>
        <v>0.98220591746248309</v>
      </c>
      <c r="G140" s="494">
        <f t="shared" si="7"/>
        <v>1.4456201844968355</v>
      </c>
    </row>
    <row r="141" spans="1:7" ht="38.25">
      <c r="A141" s="497" t="s">
        <v>183</v>
      </c>
      <c r="B141" s="315">
        <f>+'Anexo 1 - Balance'!F128</f>
        <v>3579.42</v>
      </c>
      <c r="C141" s="315">
        <f>+'Anexo 1 - Balance'!I128</f>
        <v>4336</v>
      </c>
      <c r="D141" s="315">
        <f>+'Anexo 1 - Balance'!J128</f>
        <v>5001.5959999999995</v>
      </c>
      <c r="E141" s="494">
        <f t="shared" si="5"/>
        <v>7.6250773774615727E-2</v>
      </c>
      <c r="F141" s="494">
        <f t="shared" si="6"/>
        <v>0.15350461254612546</v>
      </c>
      <c r="G141" s="494">
        <f t="shared" si="7"/>
        <v>0.39732023623939061</v>
      </c>
    </row>
    <row r="142" spans="1:7" ht="25.5">
      <c r="A142" s="497" t="s">
        <v>184</v>
      </c>
      <c r="B142" s="315">
        <f>+'Anexo 1 - Balance'!F129</f>
        <v>3009.8159999999998</v>
      </c>
      <c r="C142" s="315">
        <f>+'Anexo 1 - Balance'!I129</f>
        <v>3760</v>
      </c>
      <c r="D142" s="315">
        <f>+'Anexo 1 - Balance'!J129</f>
        <v>4072.259</v>
      </c>
      <c r="E142" s="494">
        <f t="shared" si="5"/>
        <v>6.2082763134136167E-2</v>
      </c>
      <c r="F142" s="494">
        <f t="shared" si="6"/>
        <v>8.3047606382978811E-2</v>
      </c>
      <c r="G142" s="494">
        <f t="shared" si="7"/>
        <v>0.3529926746352603</v>
      </c>
    </row>
    <row r="143" spans="1:7" ht="38.25">
      <c r="A143" s="497" t="s">
        <v>192</v>
      </c>
      <c r="B143" s="315">
        <f>+'Anexo 1 - Balance'!F139</f>
        <v>6445.9440000000004</v>
      </c>
      <c r="C143" s="315">
        <f>+'Anexo 1 - Balance'!I139</f>
        <v>7994</v>
      </c>
      <c r="D143" s="315">
        <f>+'Anexo 1 - Balance'!J139</f>
        <v>6345.9559999999992</v>
      </c>
      <c r="E143" s="494">
        <f t="shared" si="5"/>
        <v>9.6745929767151392E-2</v>
      </c>
      <c r="F143" s="494">
        <f t="shared" si="6"/>
        <v>-0.20616012009006768</v>
      </c>
      <c r="G143" s="494">
        <f t="shared" si="7"/>
        <v>-1.5511769881960014E-2</v>
      </c>
    </row>
    <row r="144" spans="1:7">
      <c r="A144" s="497" t="s">
        <v>193</v>
      </c>
      <c r="B144" s="315">
        <f>+'Anexo 1 - Balance'!F140</f>
        <v>3556.047</v>
      </c>
      <c r="C144" s="315">
        <f>+'Anexo 1 - Balance'!I140</f>
        <v>929</v>
      </c>
      <c r="D144" s="315">
        <f>+'Anexo 1 - Balance'!J140</f>
        <v>938.81399999999996</v>
      </c>
      <c r="E144" s="494">
        <f t="shared" si="5"/>
        <v>1.4312490239204065E-2</v>
      </c>
      <c r="F144" s="494">
        <f t="shared" si="6"/>
        <v>1.0564047362755513E-2</v>
      </c>
      <c r="G144" s="494">
        <f t="shared" si="7"/>
        <v>-0.73599505293377732</v>
      </c>
    </row>
    <row r="145" spans="1:7">
      <c r="A145" s="498" t="s">
        <v>63</v>
      </c>
      <c r="B145" s="317">
        <f>+'Anexo 1 - Balance'!F206</f>
        <v>36723.341</v>
      </c>
      <c r="C145" s="317">
        <f>+'Anexo 1 - Balance'!I206</f>
        <v>44569</v>
      </c>
      <c r="D145" s="317">
        <f>+'Anexo 1 - Balance'!J206</f>
        <v>65594.035999999993</v>
      </c>
      <c r="E145" s="501">
        <f t="shared" si="5"/>
        <v>1</v>
      </c>
      <c r="F145" s="501">
        <f t="shared" si="6"/>
        <v>0.4717412551324911</v>
      </c>
      <c r="G145" s="501">
        <f t="shared" si="7"/>
        <v>0.78616744048424114</v>
      </c>
    </row>
    <row r="147" spans="1:7" s="64" customFormat="1"/>
    <row r="148" spans="1:7" s="64" customFormat="1"/>
    <row r="149" spans="1:7" s="64" customFormat="1" ht="25.5">
      <c r="A149" s="272"/>
      <c r="B149" s="496">
        <v>2010</v>
      </c>
      <c r="C149" s="496">
        <v>2013</v>
      </c>
      <c r="D149" s="496">
        <v>2014</v>
      </c>
      <c r="E149" s="496" t="s">
        <v>657</v>
      </c>
      <c r="F149" s="496" t="s">
        <v>923</v>
      </c>
      <c r="G149" s="496" t="s">
        <v>658</v>
      </c>
    </row>
    <row r="150" spans="1:7" ht="25.5">
      <c r="A150" s="497" t="s">
        <v>210</v>
      </c>
      <c r="B150" s="315">
        <f>+'Anexo 1 - Balance'!F214</f>
        <v>7699.7690000000002</v>
      </c>
      <c r="C150" s="315">
        <f>+'Anexo 1 - Balance'!I214</f>
        <v>7700</v>
      </c>
      <c r="D150" s="315">
        <f>+'Anexo 1 - Balance'!J214</f>
        <v>7699.7690000000002</v>
      </c>
      <c r="E150" s="494">
        <f>+D150/$D$154</f>
        <v>0.24652472158439598</v>
      </c>
      <c r="F150" s="502">
        <f>+(D150/C150)-1</f>
        <v>-2.9999999999974492E-5</v>
      </c>
      <c r="G150" s="502">
        <f>+(D150/B150)-1</f>
        <v>0</v>
      </c>
    </row>
    <row r="151" spans="1:7" ht="25.5">
      <c r="A151" s="497" t="s">
        <v>211</v>
      </c>
      <c r="B151" s="315">
        <f>+'Anexo 1 - Balance'!F221</f>
        <v>29806.920999999998</v>
      </c>
      <c r="C151" s="315">
        <f>+'Anexo 1 - Balance'!I221</f>
        <v>4210</v>
      </c>
      <c r="D151" s="315">
        <f>+'Anexo 1 - Balance'!J221</f>
        <v>4209.607</v>
      </c>
      <c r="E151" s="494">
        <f>+D151/$D$154</f>
        <v>0.13477965295513727</v>
      </c>
      <c r="F151" s="502">
        <f>+(D151/C151)-1</f>
        <v>-9.334916864611742E-5</v>
      </c>
      <c r="G151" s="502">
        <f>+(D151/B151)-1</f>
        <v>-0.85877082037423458</v>
      </c>
    </row>
    <row r="152" spans="1:7" ht="38.25">
      <c r="A152" s="497" t="s">
        <v>212</v>
      </c>
      <c r="B152" s="315">
        <f>+'Anexo 1 - Balance'!F222</f>
        <v>9414.8310000000001</v>
      </c>
      <c r="C152" s="315">
        <f>+'Anexo 1 - Balance'!I222</f>
        <v>4309</v>
      </c>
      <c r="D152" s="315">
        <f>+'Anexo 1 - Balance'!J222</f>
        <v>4308.5420000000004</v>
      </c>
      <c r="E152" s="494">
        <f>+D152/$D$154</f>
        <v>0.13794727049404684</v>
      </c>
      <c r="F152" s="502">
        <f>+(D152/C152)-1</f>
        <v>-1.0628916221855356E-4</v>
      </c>
      <c r="G152" s="502">
        <f>+(D152/B152)-1</f>
        <v>-0.54236650663192987</v>
      </c>
    </row>
    <row r="153" spans="1:7" ht="25.5">
      <c r="A153" s="497" t="s">
        <v>213</v>
      </c>
      <c r="B153" s="315">
        <f>+'Anexo 1 - Balance'!F224</f>
        <v>18180.749</v>
      </c>
      <c r="C153" s="315">
        <f>+'Anexo 1 - Balance'!I224</f>
        <v>13841</v>
      </c>
      <c r="D153" s="315">
        <f>+'Anexo 1 - Balance'!J224</f>
        <v>15015.334999999999</v>
      </c>
      <c r="E153" s="494">
        <f>+D153/$D$154</f>
        <v>0.48074835496641988</v>
      </c>
      <c r="F153" s="502">
        <f>+(D153/C153)-1</f>
        <v>8.4844664402861092E-2</v>
      </c>
      <c r="G153" s="502">
        <f>+(D153/B153)-1</f>
        <v>-0.17410800842143526</v>
      </c>
    </row>
    <row r="154" spans="1:7" ht="25.5">
      <c r="A154" s="498" t="s">
        <v>216</v>
      </c>
      <c r="B154" s="317">
        <f>+'Anexo 1 - Balance'!F229</f>
        <v>65102.27</v>
      </c>
      <c r="C154" s="317">
        <f>+'Anexo 1 - Balance'!I229</f>
        <v>30059</v>
      </c>
      <c r="D154" s="317">
        <f>+'Anexo 1 - Balance'!J229</f>
        <v>31233.253000000001</v>
      </c>
      <c r="E154" s="501">
        <f>+D154/$D$154</f>
        <v>1</v>
      </c>
      <c r="F154" s="503">
        <f>+(D154/C154)-1</f>
        <v>3.9064938953391692E-2</v>
      </c>
      <c r="G154" s="503">
        <f>+(D154/B154)-1</f>
        <v>-0.5202432572627651</v>
      </c>
    </row>
    <row r="175" spans="1:6">
      <c r="A175" s="563"/>
      <c r="B175" s="564">
        <v>2010</v>
      </c>
      <c r="C175" s="564">
        <v>2013</v>
      </c>
      <c r="D175" s="564">
        <v>2014</v>
      </c>
      <c r="E175" s="570" t="s">
        <v>702</v>
      </c>
      <c r="F175" s="570" t="s">
        <v>703</v>
      </c>
    </row>
    <row r="176" spans="1:6">
      <c r="A176" s="565" t="s">
        <v>85</v>
      </c>
      <c r="B176" s="566">
        <f>+'Anexo 1 - Balance'!F48</f>
        <v>0</v>
      </c>
      <c r="C176" s="566">
        <f>+'Anexo 1 - Balance'!I48</f>
        <v>0</v>
      </c>
      <c r="D176" s="566">
        <f>+'Anexo 1 - Balance'!J48</f>
        <v>0</v>
      </c>
      <c r="E176" s="567">
        <f>+IFERROR((D176/B176)-1,0)</f>
        <v>0</v>
      </c>
      <c r="F176" s="567">
        <f>+IFERROR((D176/C176)-1,0)</f>
        <v>0</v>
      </c>
    </row>
    <row r="177" spans="1:6">
      <c r="A177" s="565" t="s">
        <v>302</v>
      </c>
      <c r="B177" s="566">
        <f>+'Anexo 1 - Balance'!F10</f>
        <v>18443.396000000001</v>
      </c>
      <c r="C177" s="566">
        <f>+'Anexo 1 - Balance'!I10</f>
        <v>22303</v>
      </c>
      <c r="D177" s="566">
        <f>+'Anexo 1 - Balance'!J10</f>
        <v>28630.945</v>
      </c>
      <c r="E177" s="567">
        <f>+(D177/B177)-1</f>
        <v>0.55236839245874236</v>
      </c>
      <c r="F177" s="567">
        <f>+(D177/C177)-1</f>
        <v>0.28372618033448416</v>
      </c>
    </row>
    <row r="178" spans="1:6">
      <c r="A178" s="565" t="s">
        <v>303</v>
      </c>
      <c r="B178" s="566">
        <f>+'Anexo 1 - Balance'!F245</f>
        <v>26721.35</v>
      </c>
      <c r="C178" s="566">
        <f>+'Anexo 1 - Balance'!I245</f>
        <v>35363</v>
      </c>
      <c r="D178" s="566">
        <f>+'Anexo 1 - Balance'!J245</f>
        <v>58669.265999999996</v>
      </c>
      <c r="E178" s="567">
        <f>+(D178/B178)-1</f>
        <v>1.1955951327309435</v>
      </c>
      <c r="F178" s="567">
        <f>+(D178/C178)-1</f>
        <v>0.65905794191669242</v>
      </c>
    </row>
    <row r="179" spans="1:6">
      <c r="A179" s="565" t="s">
        <v>86</v>
      </c>
      <c r="B179" s="566">
        <f>+'Anexo 1 - Balance'!F8</f>
        <v>11296.766</v>
      </c>
      <c r="C179" s="566">
        <f>+'Anexo 1 - Balance'!I8</f>
        <v>11832</v>
      </c>
      <c r="D179" s="566">
        <f>+'Anexo 1 - Balance'!J8</f>
        <v>7493.665</v>
      </c>
      <c r="E179" s="567">
        <f>+(D179/B179)-1</f>
        <v>-0.33665395919504748</v>
      </c>
      <c r="F179" s="567">
        <f>+(D179/C179)-1</f>
        <v>-0.36666117308992563</v>
      </c>
    </row>
    <row r="180" spans="1:6" ht="43.5">
      <c r="A180" s="568" t="s">
        <v>82</v>
      </c>
      <c r="B180" s="566">
        <f>+B176+B177+B179-B178</f>
        <v>3018.8120000000017</v>
      </c>
      <c r="C180" s="566">
        <f>+C176+C177+C179-C178</f>
        <v>-1228</v>
      </c>
      <c r="D180" s="566">
        <f>+D176+D177+D179-D178</f>
        <v>-22544.655999999995</v>
      </c>
      <c r="E180" s="567">
        <f>+(D180/B180)-1</f>
        <v>-8.468055645730832</v>
      </c>
      <c r="F180" s="567">
        <f>+(D180/C180)-1</f>
        <v>17.358840390879475</v>
      </c>
    </row>
    <row r="181" spans="1:6">
      <c r="A181" s="563" t="s">
        <v>80</v>
      </c>
      <c r="B181" s="569">
        <f>+'Anexo 1 - Balance'!F105</f>
        <v>55550.464999999997</v>
      </c>
      <c r="C181" s="569">
        <f>+'Anexo 1 - Balance'!I105</f>
        <v>8934</v>
      </c>
      <c r="D181" s="569">
        <f>+'Anexo 1 - Balance'!J105</f>
        <v>7658.92</v>
      </c>
      <c r="E181" s="567">
        <f>+(D181/B181)-1</f>
        <v>-0.86212680667929598</v>
      </c>
      <c r="F181" s="567">
        <f>+(D181/C181)-1</f>
        <v>-0.14272218491157374</v>
      </c>
    </row>
    <row r="183" spans="1:6">
      <c r="B183" s="62"/>
    </row>
  </sheetData>
  <pageMargins left="0.7" right="0.7" top="0.75" bottom="0.75" header="0.3" footer="0.3"/>
  <pageSetup orientation="portrait" horizontalDpi="150" verticalDpi="150" r:id="rId1"/>
  <ignoredErrors>
    <ignoredError sqref="F105 G131"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2"/>
  <sheetViews>
    <sheetView zoomScale="90" zoomScaleNormal="90" workbookViewId="0">
      <pane ySplit="10" topLeftCell="A11" activePane="bottomLeft" state="frozen"/>
      <selection pane="bottomLeft" activeCell="N15" sqref="N15"/>
    </sheetView>
  </sheetViews>
  <sheetFormatPr baseColWidth="10" defaultRowHeight="15"/>
  <sheetData>
    <row r="1" spans="2:13" s="21" customFormat="1"/>
    <row r="2" spans="2:13" s="21" customFormat="1"/>
    <row r="3" spans="2:13" s="21" customFormat="1"/>
    <row r="4" spans="2:13" s="21" customFormat="1"/>
    <row r="5" spans="2:13" s="21" customFormat="1"/>
    <row r="6" spans="2:13" s="21" customFormat="1"/>
    <row r="7" spans="2:13" s="21" customFormat="1"/>
    <row r="8" spans="2:13" s="21" customFormat="1"/>
    <row r="9" spans="2:13" s="21" customFormat="1"/>
    <row r="10" spans="2:13" s="6" customFormat="1" ht="16.5" thickBot="1">
      <c r="B10" s="1514" t="s">
        <v>509</v>
      </c>
      <c r="C10" s="1514"/>
      <c r="D10" s="1514"/>
      <c r="E10" s="1514"/>
      <c r="F10" s="1514"/>
      <c r="G10" s="1514"/>
      <c r="H10" s="1514"/>
      <c r="I10" s="1514"/>
      <c r="J10" s="1514"/>
      <c r="K10" s="1514"/>
      <c r="L10" s="1514"/>
      <c r="M10" s="1514"/>
    </row>
    <row r="11" spans="2:13" s="1" customFormat="1" ht="15.75" thickTop="1">
      <c r="B11" s="1505"/>
      <c r="C11" s="1506"/>
      <c r="D11" s="1506"/>
      <c r="E11" s="1506"/>
      <c r="F11" s="1506"/>
      <c r="G11" s="1506"/>
      <c r="H11" s="1506"/>
      <c r="I11" s="1506"/>
      <c r="J11" s="1506"/>
      <c r="K11" s="1506"/>
      <c r="L11" s="1506"/>
      <c r="M11" s="1507"/>
    </row>
    <row r="12" spans="2:13" s="1" customFormat="1">
      <c r="B12" s="1508"/>
      <c r="C12" s="1509"/>
      <c r="D12" s="1509"/>
      <c r="E12" s="1509"/>
      <c r="F12" s="1509"/>
      <c r="G12" s="1509"/>
      <c r="H12" s="1509"/>
      <c r="I12" s="1509"/>
      <c r="J12" s="1509"/>
      <c r="K12" s="1509"/>
      <c r="L12" s="1509"/>
      <c r="M12" s="1510"/>
    </row>
    <row r="13" spans="2:13" s="1" customFormat="1">
      <c r="B13" s="1508"/>
      <c r="C13" s="1509"/>
      <c r="D13" s="1509"/>
      <c r="E13" s="1509"/>
      <c r="F13" s="1509"/>
      <c r="G13" s="1509"/>
      <c r="H13" s="1509"/>
      <c r="I13" s="1509"/>
      <c r="J13" s="1509"/>
      <c r="K13" s="1509"/>
      <c r="L13" s="1509"/>
      <c r="M13" s="1510"/>
    </row>
    <row r="14" spans="2:13" s="1" customFormat="1">
      <c r="B14" s="1508"/>
      <c r="C14" s="1509"/>
      <c r="D14" s="1509"/>
      <c r="E14" s="1509"/>
      <c r="F14" s="1509"/>
      <c r="G14" s="1509"/>
      <c r="H14" s="1509"/>
      <c r="I14" s="1509"/>
      <c r="J14" s="1509"/>
      <c r="K14" s="1509"/>
      <c r="L14" s="1509"/>
      <c r="M14" s="1510"/>
    </row>
    <row r="15" spans="2:13" s="1" customFormat="1">
      <c r="B15" s="1508"/>
      <c r="C15" s="1509"/>
      <c r="D15" s="1509"/>
      <c r="E15" s="1509"/>
      <c r="F15" s="1509"/>
      <c r="G15" s="1509"/>
      <c r="H15" s="1509"/>
      <c r="I15" s="1509"/>
      <c r="J15" s="1509"/>
      <c r="K15" s="1509"/>
      <c r="L15" s="1509"/>
      <c r="M15" s="1510"/>
    </row>
    <row r="16" spans="2:13" s="1" customFormat="1">
      <c r="B16" s="1508"/>
      <c r="C16" s="1509"/>
      <c r="D16" s="1509"/>
      <c r="E16" s="1509"/>
      <c r="F16" s="1509"/>
      <c r="G16" s="1509"/>
      <c r="H16" s="1509"/>
      <c r="I16" s="1509"/>
      <c r="J16" s="1509"/>
      <c r="K16" s="1509"/>
      <c r="L16" s="1509"/>
      <c r="M16" s="1510"/>
    </row>
    <row r="17" spans="2:13" s="1" customFormat="1">
      <c r="B17" s="1508"/>
      <c r="C17" s="1509"/>
      <c r="D17" s="1509"/>
      <c r="E17" s="1509"/>
      <c r="F17" s="1509"/>
      <c r="G17" s="1509"/>
      <c r="H17" s="1509"/>
      <c r="I17" s="1509"/>
      <c r="J17" s="1509"/>
      <c r="K17" s="1509"/>
      <c r="L17" s="1509"/>
      <c r="M17" s="1510"/>
    </row>
    <row r="18" spans="2:13" s="1" customFormat="1">
      <c r="B18" s="1508"/>
      <c r="C18" s="1509"/>
      <c r="D18" s="1509"/>
      <c r="E18" s="1509"/>
      <c r="F18" s="1509"/>
      <c r="G18" s="1509"/>
      <c r="H18" s="1509"/>
      <c r="I18" s="1509"/>
      <c r="J18" s="1509"/>
      <c r="K18" s="1509"/>
      <c r="L18" s="1509"/>
      <c r="M18" s="1510"/>
    </row>
    <row r="19" spans="2:13" s="1" customFormat="1">
      <c r="B19" s="1508"/>
      <c r="C19" s="1509"/>
      <c r="D19" s="1509"/>
      <c r="E19" s="1509"/>
      <c r="F19" s="1509"/>
      <c r="G19" s="1509"/>
      <c r="H19" s="1509"/>
      <c r="I19" s="1509"/>
      <c r="J19" s="1509"/>
      <c r="K19" s="1509"/>
      <c r="L19" s="1509"/>
      <c r="M19" s="1510"/>
    </row>
    <row r="20" spans="2:13" s="1" customFormat="1">
      <c r="B20" s="1508"/>
      <c r="C20" s="1509"/>
      <c r="D20" s="1509"/>
      <c r="E20" s="1509"/>
      <c r="F20" s="1509"/>
      <c r="G20" s="1509"/>
      <c r="H20" s="1509"/>
      <c r="I20" s="1509"/>
      <c r="J20" s="1509"/>
      <c r="K20" s="1509"/>
      <c r="L20" s="1509"/>
      <c r="M20" s="1510"/>
    </row>
    <row r="21" spans="2:13" s="1" customFormat="1">
      <c r="B21" s="1508"/>
      <c r="C21" s="1509"/>
      <c r="D21" s="1509"/>
      <c r="E21" s="1509"/>
      <c r="F21" s="1509"/>
      <c r="G21" s="1509"/>
      <c r="H21" s="1509"/>
      <c r="I21" s="1509"/>
      <c r="J21" s="1509"/>
      <c r="K21" s="1509"/>
      <c r="L21" s="1509"/>
      <c r="M21" s="1510"/>
    </row>
    <row r="22" spans="2:13" s="1" customFormat="1">
      <c r="B22" s="1508"/>
      <c r="C22" s="1509"/>
      <c r="D22" s="1509"/>
      <c r="E22" s="1509"/>
      <c r="F22" s="1509"/>
      <c r="G22" s="1509"/>
      <c r="H22" s="1509"/>
      <c r="I22" s="1509"/>
      <c r="J22" s="1509"/>
      <c r="K22" s="1509"/>
      <c r="L22" s="1509"/>
      <c r="M22" s="1510"/>
    </row>
    <row r="23" spans="2:13" s="1" customFormat="1">
      <c r="B23" s="1508"/>
      <c r="C23" s="1509"/>
      <c r="D23" s="1509"/>
      <c r="E23" s="1509"/>
      <c r="F23" s="1509"/>
      <c r="G23" s="1509"/>
      <c r="H23" s="1509"/>
      <c r="I23" s="1509"/>
      <c r="J23" s="1509"/>
      <c r="K23" s="1509"/>
      <c r="L23" s="1509"/>
      <c r="M23" s="1510"/>
    </row>
    <row r="24" spans="2:13" s="1" customFormat="1">
      <c r="B24" s="1508"/>
      <c r="C24" s="1509"/>
      <c r="D24" s="1509"/>
      <c r="E24" s="1509"/>
      <c r="F24" s="1509"/>
      <c r="G24" s="1509"/>
      <c r="H24" s="1509"/>
      <c r="I24" s="1509"/>
      <c r="J24" s="1509"/>
      <c r="K24" s="1509"/>
      <c r="L24" s="1509"/>
      <c r="M24" s="1510"/>
    </row>
    <row r="25" spans="2:13" s="1" customFormat="1">
      <c r="B25" s="1508"/>
      <c r="C25" s="1509"/>
      <c r="D25" s="1509"/>
      <c r="E25" s="1509"/>
      <c r="F25" s="1509"/>
      <c r="G25" s="1509"/>
      <c r="H25" s="1509"/>
      <c r="I25" s="1509"/>
      <c r="J25" s="1509"/>
      <c r="K25" s="1509"/>
      <c r="L25" s="1509"/>
      <c r="M25" s="1510"/>
    </row>
    <row r="26" spans="2:13" s="1" customFormat="1">
      <c r="B26" s="1508"/>
      <c r="C26" s="1509"/>
      <c r="D26" s="1509"/>
      <c r="E26" s="1509"/>
      <c r="F26" s="1509"/>
      <c r="G26" s="1509"/>
      <c r="H26" s="1509"/>
      <c r="I26" s="1509"/>
      <c r="J26" s="1509"/>
      <c r="K26" s="1509"/>
      <c r="L26" s="1509"/>
      <c r="M26" s="1510"/>
    </row>
    <row r="27" spans="2:13" s="1" customFormat="1">
      <c r="B27" s="1508"/>
      <c r="C27" s="1509"/>
      <c r="D27" s="1509"/>
      <c r="E27" s="1509"/>
      <c r="F27" s="1509"/>
      <c r="G27" s="1509"/>
      <c r="H27" s="1509"/>
      <c r="I27" s="1509"/>
      <c r="J27" s="1509"/>
      <c r="K27" s="1509"/>
      <c r="L27" s="1509"/>
      <c r="M27" s="1510"/>
    </row>
    <row r="28" spans="2:13" s="1" customFormat="1">
      <c r="B28" s="1508"/>
      <c r="C28" s="1509"/>
      <c r="D28" s="1509"/>
      <c r="E28" s="1509"/>
      <c r="F28" s="1509"/>
      <c r="G28" s="1509"/>
      <c r="H28" s="1509"/>
      <c r="I28" s="1509"/>
      <c r="J28" s="1509"/>
      <c r="K28" s="1509"/>
      <c r="L28" s="1509"/>
      <c r="M28" s="1510"/>
    </row>
    <row r="29" spans="2:13" s="6" customFormat="1">
      <c r="B29" s="1508"/>
      <c r="C29" s="1509"/>
      <c r="D29" s="1509"/>
      <c r="E29" s="1509"/>
      <c r="F29" s="1509"/>
      <c r="G29" s="1509"/>
      <c r="H29" s="1509"/>
      <c r="I29" s="1509"/>
      <c r="J29" s="1509"/>
      <c r="K29" s="1509"/>
      <c r="L29" s="1509"/>
      <c r="M29" s="1510"/>
    </row>
    <row r="30" spans="2:13" s="1" customFormat="1" ht="15.75" thickBot="1">
      <c r="B30" s="1511"/>
      <c r="C30" s="1512"/>
      <c r="D30" s="1512"/>
      <c r="E30" s="1512"/>
      <c r="F30" s="1512"/>
      <c r="G30" s="1512"/>
      <c r="H30" s="1512"/>
      <c r="I30" s="1512"/>
      <c r="J30" s="1512"/>
      <c r="K30" s="1512"/>
      <c r="L30" s="1512"/>
      <c r="M30" s="1513"/>
    </row>
    <row r="31" spans="2:13" s="1" customFormat="1" ht="15.75" thickTop="1">
      <c r="B31" s="20"/>
      <c r="C31" s="20"/>
      <c r="D31" s="20"/>
      <c r="E31" s="20"/>
      <c r="F31" s="20"/>
      <c r="G31" s="20"/>
      <c r="H31" s="20"/>
      <c r="I31" s="20"/>
      <c r="J31" s="20"/>
      <c r="K31" s="20"/>
      <c r="L31" s="20"/>
      <c r="M31" s="20"/>
    </row>
    <row r="32" spans="2:13" s="1" customFormat="1">
      <c r="B32" s="20"/>
      <c r="C32" s="20"/>
      <c r="D32" s="20"/>
      <c r="E32" s="20"/>
      <c r="F32" s="20"/>
      <c r="G32" s="20"/>
      <c r="H32" s="20"/>
      <c r="I32" s="20"/>
      <c r="J32" s="20"/>
      <c r="K32" s="20"/>
      <c r="L32" s="20"/>
      <c r="M32" s="20"/>
    </row>
  </sheetData>
  <mergeCells count="2">
    <mergeCell ref="B11:M30"/>
    <mergeCell ref="B10:M10"/>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G106"/>
  <sheetViews>
    <sheetView topLeftCell="A34" zoomScale="80" zoomScaleNormal="80" workbookViewId="0">
      <selection activeCell="A12" sqref="A12"/>
    </sheetView>
  </sheetViews>
  <sheetFormatPr baseColWidth="10" defaultRowHeight="15"/>
  <cols>
    <col min="1" max="1" width="57.5703125" style="64" customWidth="1"/>
    <col min="2" max="4" width="14.28515625" style="64" customWidth="1"/>
    <col min="5" max="5" width="16.7109375" style="64" bestFit="1" customWidth="1"/>
    <col min="6" max="7" width="16.28515625" style="64" bestFit="1" customWidth="1"/>
    <col min="8" max="8" width="23.5703125" style="64" bestFit="1" customWidth="1"/>
    <col min="9" max="16384" width="11.42578125" style="64"/>
  </cols>
  <sheetData>
    <row r="2" spans="1:7">
      <c r="A2" s="671"/>
      <c r="B2" s="672"/>
      <c r="C2" s="672"/>
      <c r="D2" s="672"/>
      <c r="E2" s="609"/>
    </row>
    <row r="3" spans="1:7">
      <c r="A3" s="499"/>
      <c r="B3" s="534"/>
      <c r="C3" s="534"/>
      <c r="D3" s="534"/>
      <c r="E3" s="609"/>
    </row>
    <row r="4" spans="1:7" ht="15.75" thickBot="1">
      <c r="A4" s="671"/>
      <c r="B4" s="672"/>
      <c r="C4" s="672"/>
      <c r="D4" s="672"/>
      <c r="E4" s="609"/>
    </row>
    <row r="5" spans="1:7" ht="15.75" thickTop="1">
      <c r="A5" s="656"/>
      <c r="B5" s="657">
        <v>2010</v>
      </c>
      <c r="C5" s="657">
        <v>2013</v>
      </c>
      <c r="D5" s="657">
        <v>2014</v>
      </c>
      <c r="E5" s="255" t="s">
        <v>924</v>
      </c>
      <c r="F5" s="255" t="s">
        <v>923</v>
      </c>
      <c r="G5" s="256" t="s">
        <v>658</v>
      </c>
    </row>
    <row r="6" spans="1:7">
      <c r="A6" s="147" t="s">
        <v>156</v>
      </c>
      <c r="B6" s="315">
        <f>+'Anexo 1 - Balance'!F56</f>
        <v>46275.146000000001</v>
      </c>
      <c r="C6" s="315">
        <f>+'Anexo 1 - Balance'!I56</f>
        <v>65694</v>
      </c>
      <c r="D6" s="315">
        <f>+'Anexo 1 - Balance'!J56</f>
        <v>89168.369000000006</v>
      </c>
      <c r="E6" s="658">
        <f>D6/$D$8</f>
        <v>0.92090122444717004</v>
      </c>
      <c r="F6" s="659">
        <f>+(D6/C6)-1</f>
        <v>0.35732896459341812</v>
      </c>
      <c r="G6" s="660">
        <f>+(D6/B6)-1</f>
        <v>0.92691707552905411</v>
      </c>
    </row>
    <row r="7" spans="1:7">
      <c r="A7" s="147" t="s">
        <v>162</v>
      </c>
      <c r="B7" s="315">
        <f>+'Anexo 1 - Balance'!F105</f>
        <v>55550.464999999997</v>
      </c>
      <c r="C7" s="315">
        <f>+'Anexo 1 - Balance'!I105</f>
        <v>8934</v>
      </c>
      <c r="D7" s="315">
        <f>+'Anexo 1 - Balance'!J105</f>
        <v>7658.92</v>
      </c>
      <c r="E7" s="658">
        <f>D7/$D$8</f>
        <v>7.9098775552829945E-2</v>
      </c>
      <c r="F7" s="659">
        <f>+(D7/C7)-1</f>
        <v>-0.14272218491157374</v>
      </c>
      <c r="G7" s="660">
        <f>+(D7/B7)-1</f>
        <v>-0.86212680667929598</v>
      </c>
    </row>
    <row r="8" spans="1:7" ht="15.75" thickBot="1">
      <c r="A8" s="661" t="s">
        <v>163</v>
      </c>
      <c r="B8" s="662">
        <f>+'Anexo 1 - Balance'!F106</f>
        <v>101825.611</v>
      </c>
      <c r="C8" s="662">
        <f>+'Anexo 1 - Balance'!I106</f>
        <v>74628</v>
      </c>
      <c r="D8" s="662">
        <f>+'Anexo 1 - Balance'!J106</f>
        <v>96827.289000000004</v>
      </c>
      <c r="E8" s="663">
        <v>1</v>
      </c>
      <c r="F8" s="664">
        <f>+(D8/C8)-1</f>
        <v>0.29746595111754304</v>
      </c>
      <c r="G8" s="665">
        <f>+(D8/B8)-1</f>
        <v>-4.9087080852380005E-2</v>
      </c>
    </row>
    <row r="9" spans="1:7" ht="15.75" thickTop="1">
      <c r="A9" s="499"/>
      <c r="B9" s="534"/>
      <c r="C9" s="534"/>
      <c r="D9" s="534"/>
      <c r="E9" s="609"/>
    </row>
    <row r="10" spans="1:7">
      <c r="A10" s="673"/>
      <c r="B10" s="126"/>
      <c r="C10" s="126"/>
      <c r="D10" s="126">
        <f>C6/C8</f>
        <v>0.8802862196494613</v>
      </c>
      <c r="E10" s="126"/>
    </row>
    <row r="11" spans="1:7">
      <c r="A11" s="655"/>
      <c r="D11" s="126">
        <f>C7/C8</f>
        <v>0.11971378035053867</v>
      </c>
    </row>
    <row r="20" spans="1:7" ht="15.75" thickBot="1"/>
    <row r="21" spans="1:7" ht="15.75" thickTop="1">
      <c r="A21" s="656"/>
      <c r="B21" s="657">
        <v>2010</v>
      </c>
      <c r="C21" s="657">
        <v>2013</v>
      </c>
      <c r="D21" s="657">
        <v>2014</v>
      </c>
      <c r="E21" s="255" t="s">
        <v>924</v>
      </c>
      <c r="F21" s="255" t="s">
        <v>923</v>
      </c>
      <c r="G21" s="256" t="s">
        <v>658</v>
      </c>
    </row>
    <row r="22" spans="1:7">
      <c r="A22" s="145" t="s">
        <v>114</v>
      </c>
      <c r="B22" s="315">
        <f>+'Anexo 1 - Balance'!F8</f>
        <v>11296.766</v>
      </c>
      <c r="C22" s="315">
        <f>+'Anexo 1 - Balance'!I8</f>
        <v>11832</v>
      </c>
      <c r="D22" s="315">
        <f>+'Anexo 1 - Balance'!J8</f>
        <v>7493.665</v>
      </c>
      <c r="E22" s="658">
        <f>+D22/$D$28</f>
        <v>7.7392076938144982E-2</v>
      </c>
      <c r="F22" s="659">
        <f>+(D22/C22)-1</f>
        <v>-0.36666117308992563</v>
      </c>
      <c r="G22" s="660">
        <f>+(D22/B22)-1</f>
        <v>-0.33665395919504748</v>
      </c>
    </row>
    <row r="23" spans="1:7">
      <c r="A23" s="145" t="s">
        <v>137</v>
      </c>
      <c r="B23" s="315">
        <f>+'Anexo 1 - Balance'!F31</f>
        <v>32478.819</v>
      </c>
      <c r="C23" s="315">
        <f>+'Anexo 1 - Balance'!I31</f>
        <v>50547</v>
      </c>
      <c r="D23" s="315">
        <f>+'Anexo 1 - Balance'!J31</f>
        <v>78654.81</v>
      </c>
      <c r="E23" s="658">
        <f t="shared" ref="E23:E28" si="0">+D23/$D$28</f>
        <v>0.81232068781766675</v>
      </c>
      <c r="F23" s="659">
        <f t="shared" ref="F23:F28" si="1">+(D23/C23)-1</f>
        <v>0.55607276396225291</v>
      </c>
      <c r="G23" s="660">
        <f t="shared" ref="G23:G28" si="2">+(D23/B23)-1</f>
        <v>1.4217262949123857</v>
      </c>
    </row>
    <row r="24" spans="1:7">
      <c r="A24" s="145" t="s">
        <v>155</v>
      </c>
      <c r="B24" s="315">
        <f>+'Anexo 1 - Balance'!F55</f>
        <v>2499.5610000000001</v>
      </c>
      <c r="C24" s="315">
        <f>+'Anexo 1 - Balance'!I55</f>
        <v>3316</v>
      </c>
      <c r="D24" s="315">
        <f>+'Anexo 1 - Balance'!J55</f>
        <v>3019.8939999999998</v>
      </c>
      <c r="E24" s="658">
        <f t="shared" si="0"/>
        <v>3.1188459691358288E-2</v>
      </c>
      <c r="F24" s="659">
        <f t="shared" si="1"/>
        <v>-8.9296139927623752E-2</v>
      </c>
      <c r="G24" s="660">
        <f t="shared" si="2"/>
        <v>0.20816975460890919</v>
      </c>
    </row>
    <row r="25" spans="1:7">
      <c r="A25" s="145" t="s">
        <v>158</v>
      </c>
      <c r="B25" s="315">
        <f>+'Anexo 1 - Balance'!F78</f>
        <v>50725.718999999997</v>
      </c>
      <c r="C25" s="315">
        <f>+'Anexo 1 - Balance'!I78</f>
        <v>2493</v>
      </c>
      <c r="D25" s="315">
        <f>+'Anexo 1 - Balance'!J78</f>
        <v>2458.8049999999998</v>
      </c>
      <c r="E25" s="658">
        <f t="shared" si="0"/>
        <v>2.5393719326377091E-2</v>
      </c>
      <c r="F25" s="659">
        <f t="shared" si="1"/>
        <v>-1.37164059366226E-2</v>
      </c>
      <c r="G25" s="660">
        <f t="shared" si="2"/>
        <v>-0.95152744902442876</v>
      </c>
    </row>
    <row r="26" spans="1:7">
      <c r="A26" s="145" t="s">
        <v>159</v>
      </c>
      <c r="B26" s="315">
        <f>+'Anexo 1 - Balance'!F79</f>
        <v>4343.4449999999997</v>
      </c>
      <c r="C26" s="315">
        <f>+'Anexo 1 - Balance'!I79</f>
        <v>4307</v>
      </c>
      <c r="D26" s="315">
        <f>+'Anexo 1 - Balance'!J79</f>
        <v>3245.2919999999999</v>
      </c>
      <c r="E26" s="658">
        <f t="shared" si="0"/>
        <v>3.3516295184098356E-2</v>
      </c>
      <c r="F26" s="659">
        <f t="shared" si="1"/>
        <v>-0.24650754585558399</v>
      </c>
      <c r="G26" s="660">
        <f t="shared" si="2"/>
        <v>-0.25282995410325215</v>
      </c>
    </row>
    <row r="27" spans="1:7">
      <c r="A27" s="145" t="s">
        <v>161</v>
      </c>
      <c r="B27" s="315">
        <f>+'Anexo 1 - Balance'!F96</f>
        <v>337.80900000000003</v>
      </c>
      <c r="C27" s="315">
        <f>+'Anexo 1 - Balance'!I96</f>
        <v>784</v>
      </c>
      <c r="D27" s="315">
        <f>+'Anexo 1 - Balance'!J96</f>
        <v>790.61599999999999</v>
      </c>
      <c r="E27" s="658">
        <f t="shared" si="0"/>
        <v>8.165218794879199E-3</v>
      </c>
      <c r="F27" s="659">
        <f t="shared" si="1"/>
        <v>8.4387755102039996E-3</v>
      </c>
      <c r="G27" s="660">
        <f t="shared" si="2"/>
        <v>1.3404231385191037</v>
      </c>
    </row>
    <row r="28" spans="1:7" ht="15.75" thickBot="1">
      <c r="A28" s="661" t="s">
        <v>163</v>
      </c>
      <c r="B28" s="662">
        <f>+'Anexo 1 - Balance'!F106</f>
        <v>101825.611</v>
      </c>
      <c r="C28" s="662">
        <f>+'Anexo 1 - Balance'!I106</f>
        <v>74628</v>
      </c>
      <c r="D28" s="662">
        <f>+'Anexo 1 - Balance'!J106</f>
        <v>96827.289000000004</v>
      </c>
      <c r="E28" s="663">
        <f t="shared" si="0"/>
        <v>1</v>
      </c>
      <c r="F28" s="664">
        <f t="shared" si="1"/>
        <v>0.29746595111754304</v>
      </c>
      <c r="G28" s="665">
        <f t="shared" si="2"/>
        <v>-4.9087080852380005E-2</v>
      </c>
    </row>
    <row r="29" spans="1:7" ht="15.75" thickTop="1"/>
    <row r="30" spans="1:7">
      <c r="A30" s="699" t="s">
        <v>713</v>
      </c>
      <c r="D30" s="615">
        <f>+'Anexo - Balance Sector '!I26</f>
        <v>3680279</v>
      </c>
      <c r="E30" s="700">
        <f>+D28/D30</f>
        <v>2.6309768634388862E-2</v>
      </c>
    </row>
    <row r="38" spans="1:7" ht="15.75" thickBot="1"/>
    <row r="39" spans="1:7" ht="15.75" thickTop="1">
      <c r="A39" s="656"/>
      <c r="B39" s="657">
        <v>2010</v>
      </c>
      <c r="C39" s="657">
        <v>2013</v>
      </c>
      <c r="D39" s="657">
        <v>2014</v>
      </c>
      <c r="E39" s="283" t="s">
        <v>924</v>
      </c>
      <c r="F39" s="255" t="s">
        <v>923</v>
      </c>
      <c r="G39" s="256" t="s">
        <v>658</v>
      </c>
    </row>
    <row r="40" spans="1:7">
      <c r="A40" s="145" t="s">
        <v>110</v>
      </c>
      <c r="B40" s="315">
        <f>+'Anexo 1 - Balance'!F3</f>
        <v>0</v>
      </c>
      <c r="C40" s="315">
        <f>+'Anexo 1 - Balance'!I3</f>
        <v>28</v>
      </c>
      <c r="D40" s="315">
        <f>+'Anexo 1 - Balance'!J3</f>
        <v>23.427</v>
      </c>
      <c r="E40" s="658">
        <f>+D40/$D$44</f>
        <v>3.1262406312531983E-3</v>
      </c>
      <c r="F40" s="659">
        <f>+(D40/C40)-1</f>
        <v>-0.16332142857142862</v>
      </c>
      <c r="G40" s="660">
        <f>+IFERROR((D40/B40)-1,0)</f>
        <v>0</v>
      </c>
    </row>
    <row r="41" spans="1:7">
      <c r="A41" s="145" t="s">
        <v>112</v>
      </c>
      <c r="B41" s="315">
        <f>+'Anexo 1 - Balance'!F6</f>
        <v>10105.749</v>
      </c>
      <c r="C41" s="315">
        <f>+'Anexo 1 - Balance'!I6</f>
        <v>11062</v>
      </c>
      <c r="D41" s="315">
        <f>+'Anexo 1 - Balance'!J6</f>
        <v>6709.92</v>
      </c>
      <c r="E41" s="658">
        <f>+D41/$D$44</f>
        <v>0.89541232494380252</v>
      </c>
      <c r="F41" s="659">
        <f>+(D41/C41)-1</f>
        <v>-0.39342614355451089</v>
      </c>
      <c r="G41" s="660">
        <f>+(D41/B41)-1</f>
        <v>-0.33602942246042322</v>
      </c>
    </row>
    <row r="42" spans="1:7">
      <c r="A42" s="145" t="s">
        <v>925</v>
      </c>
      <c r="B42" s="315">
        <f>+'Anexo 1 - Balance'!F4</f>
        <v>1187.9349999999999</v>
      </c>
      <c r="C42" s="315">
        <f>+'Anexo 1 - Balance'!I4</f>
        <v>740</v>
      </c>
      <c r="D42" s="315">
        <f>+'Anexo 1 - Balance'!J4</f>
        <v>754.45899999999995</v>
      </c>
      <c r="E42" s="658">
        <f>+D42/$D$44</f>
        <v>0.10067957401351674</v>
      </c>
      <c r="F42" s="659">
        <f>+(D42/C42)-1</f>
        <v>1.9539189189189177E-2</v>
      </c>
      <c r="G42" s="660">
        <f>+(D42/B42)-1</f>
        <v>-0.3648987528778932</v>
      </c>
    </row>
    <row r="43" spans="1:7">
      <c r="A43" s="145" t="s">
        <v>113</v>
      </c>
      <c r="B43" s="315">
        <f>+'Anexo 1 - Balance'!F7</f>
        <v>3.0819999999999999</v>
      </c>
      <c r="C43" s="315">
        <f>+'Anexo 1 - Balance'!I7</f>
        <v>2</v>
      </c>
      <c r="D43" s="315">
        <f>+'Anexo 1 - Balance'!J7</f>
        <v>5.859</v>
      </c>
      <c r="E43" s="658">
        <f>+D43/$D$44</f>
        <v>7.8186041142751911E-4</v>
      </c>
      <c r="F43" s="666">
        <f>+(D43/C43)-1</f>
        <v>1.9295</v>
      </c>
      <c r="G43" s="667">
        <f>+(D43/B43)-1</f>
        <v>0.90103828682673592</v>
      </c>
    </row>
    <row r="44" spans="1:7" ht="15.75" thickBot="1">
      <c r="A44" s="661" t="s">
        <v>114</v>
      </c>
      <c r="B44" s="662">
        <f>+'Anexo 1 - Balance'!F8</f>
        <v>11296.766</v>
      </c>
      <c r="C44" s="662">
        <f>+'Anexo 1 - Balance'!I8</f>
        <v>11832</v>
      </c>
      <c r="D44" s="662">
        <f>+'Anexo 1 - Balance'!J8</f>
        <v>7493.665</v>
      </c>
      <c r="E44" s="668">
        <v>1</v>
      </c>
      <c r="F44" s="668">
        <f>+(D44/C44)-1</f>
        <v>-0.36666117308992563</v>
      </c>
      <c r="G44" s="669">
        <f>+(D44/B44)-1</f>
        <v>-0.33665395919504748</v>
      </c>
    </row>
    <row r="45" spans="1:7" ht="15.75" thickTop="1"/>
    <row r="53" spans="1:7" ht="15.75" thickBot="1"/>
    <row r="54" spans="1:7" ht="15.75" thickTop="1">
      <c r="A54" s="656"/>
      <c r="B54" s="657">
        <v>2010</v>
      </c>
      <c r="C54" s="657">
        <v>2013</v>
      </c>
      <c r="D54" s="657">
        <v>2014</v>
      </c>
      <c r="E54" s="670" t="s">
        <v>924</v>
      </c>
      <c r="F54" s="255" t="s">
        <v>923</v>
      </c>
      <c r="G54" s="256" t="s">
        <v>658</v>
      </c>
    </row>
    <row r="55" spans="1:7">
      <c r="A55" s="145" t="s">
        <v>709</v>
      </c>
      <c r="B55" s="315">
        <f>+'Anexo 1 - Balance'!F10</f>
        <v>18443.396000000001</v>
      </c>
      <c r="C55" s="315">
        <f>+'Anexo 1 - Balance'!I10</f>
        <v>22303</v>
      </c>
      <c r="D55" s="315">
        <f>+'Anexo 1 - Balance'!J10</f>
        <v>28630.945</v>
      </c>
      <c r="E55" s="658">
        <f>+D55/$D$63</f>
        <v>0.36400755401990037</v>
      </c>
      <c r="F55" s="659">
        <f>+(D55/C55)-1</f>
        <v>0.28372618033448416</v>
      </c>
      <c r="G55" s="660">
        <f>+(D55/B55)-1</f>
        <v>0.55236839245874236</v>
      </c>
    </row>
    <row r="56" spans="1:7">
      <c r="A56" s="145" t="s">
        <v>117</v>
      </c>
      <c r="B56" s="315">
        <f>+'Anexo 1 - Balance'!F11</f>
        <v>13234.896000000001</v>
      </c>
      <c r="C56" s="315">
        <f>+'Anexo 1 - Balance'!I11</f>
        <v>25147</v>
      </c>
      <c r="D56" s="315">
        <f>+'Anexo 1 - Balance'!J11</f>
        <v>41340.127</v>
      </c>
      <c r="E56" s="658">
        <f t="shared" ref="E56:E63" si="3">+D56/$D$63</f>
        <v>0.52558930598141429</v>
      </c>
      <c r="F56" s="659">
        <f>+(D56/C56)-1</f>
        <v>0.64393872032449195</v>
      </c>
      <c r="G56" s="660">
        <f>+(D56/B56)-1</f>
        <v>2.1235702192144159</v>
      </c>
    </row>
    <row r="57" spans="1:7">
      <c r="A57" s="145" t="s">
        <v>123</v>
      </c>
      <c r="B57" s="315">
        <f>+'Anexo 1 - Balance'!F17</f>
        <v>116.896</v>
      </c>
      <c r="C57" s="315">
        <f>+'Anexo 1 - Balance'!I17</f>
        <v>198</v>
      </c>
      <c r="D57" s="315">
        <f>+'Anexo 1 - Balance'!J17</f>
        <v>135.34800000000001</v>
      </c>
      <c r="E57" s="658">
        <f t="shared" si="3"/>
        <v>1.7207847809943221E-3</v>
      </c>
      <c r="F57" s="666">
        <f t="shared" ref="F57:F63" si="4">+(D57/C57)-1</f>
        <v>-0.31642424242424239</v>
      </c>
      <c r="G57" s="667">
        <f t="shared" ref="G57:G63" si="5">+(D57/B57)-1</f>
        <v>0.15784971256501512</v>
      </c>
    </row>
    <row r="58" spans="1:7">
      <c r="A58" s="145" t="s">
        <v>129</v>
      </c>
      <c r="B58" s="315">
        <f>+'Anexo 1 - Balance'!F23</f>
        <v>30.097999999999999</v>
      </c>
      <c r="C58" s="315">
        <f>+'Anexo 1 - Balance'!I23</f>
        <v>0</v>
      </c>
      <c r="D58" s="315">
        <f>+'Anexo 1 - Balance'!J23</f>
        <v>0</v>
      </c>
      <c r="E58" s="658">
        <f t="shared" si="3"/>
        <v>0</v>
      </c>
      <c r="F58" s="666">
        <f>+IFERROR((D58/C58)-1,0)</f>
        <v>0</v>
      </c>
      <c r="G58" s="667">
        <f t="shared" si="5"/>
        <v>-1</v>
      </c>
    </row>
    <row r="59" spans="1:7">
      <c r="A59" s="145" t="s">
        <v>131</v>
      </c>
      <c r="B59" s="315">
        <f>+'Anexo 1 - Balance'!F25</f>
        <v>55.244</v>
      </c>
      <c r="C59" s="315">
        <f>+'Anexo 1 - Balance'!I25</f>
        <v>96</v>
      </c>
      <c r="D59" s="315">
        <f>+'Anexo 1 - Balance'!J25</f>
        <v>109.55500000000001</v>
      </c>
      <c r="E59" s="658">
        <f t="shared" si="3"/>
        <v>1.3928582371504046E-3</v>
      </c>
      <c r="F59" s="666">
        <f t="shared" si="4"/>
        <v>0.14119791666666681</v>
      </c>
      <c r="G59" s="667">
        <f t="shared" si="5"/>
        <v>0.98311128810368564</v>
      </c>
    </row>
    <row r="60" spans="1:7">
      <c r="A60" s="145" t="s">
        <v>133</v>
      </c>
      <c r="B60" s="315">
        <f>+'Anexo 1 - Balance'!F27</f>
        <v>600.024</v>
      </c>
      <c r="C60" s="315">
        <f>+'Anexo 1 - Balance'!I27</f>
        <v>2803</v>
      </c>
      <c r="D60" s="315">
        <f>+'Anexo 1 - Balance'!J27</f>
        <v>8420.9030000000002</v>
      </c>
      <c r="E60" s="658">
        <f t="shared" si="3"/>
        <v>0.10706151346624575</v>
      </c>
      <c r="F60" s="666">
        <f t="shared" si="4"/>
        <v>2.0042465215840171</v>
      </c>
      <c r="G60" s="667">
        <f t="shared" si="5"/>
        <v>13.034276962254843</v>
      </c>
    </row>
    <row r="61" spans="1:7">
      <c r="A61" s="145" t="s">
        <v>135</v>
      </c>
      <c r="B61" s="315">
        <f>+'Anexo 1 - Balance'!F29</f>
        <v>460.67099999999999</v>
      </c>
      <c r="C61" s="315">
        <f>+'Anexo 1 - Balance'!I29</f>
        <v>0</v>
      </c>
      <c r="D61" s="315">
        <f>+'Anexo 1 - Balance'!J29</f>
        <v>0</v>
      </c>
      <c r="E61" s="658">
        <f t="shared" si="3"/>
        <v>0</v>
      </c>
      <c r="F61" s="666">
        <f>+IFERROR((D61/C61)-1,0)</f>
        <v>0</v>
      </c>
      <c r="G61" s="667">
        <f t="shared" si="5"/>
        <v>-1</v>
      </c>
    </row>
    <row r="62" spans="1:7">
      <c r="A62" s="145" t="s">
        <v>136</v>
      </c>
      <c r="B62" s="315">
        <f>+'Anexo 1 - Balance'!F30</f>
        <v>462.40600000000001</v>
      </c>
      <c r="C62" s="315">
        <f>+'Anexo 1 - Balance'!I30</f>
        <v>0</v>
      </c>
      <c r="D62" s="315">
        <f>+'Anexo 1 - Balance'!J30</f>
        <v>0</v>
      </c>
      <c r="E62" s="658">
        <f t="shared" si="3"/>
        <v>0</v>
      </c>
      <c r="F62" s="666">
        <f>+IFERROR((D62/C62)-1,0)</f>
        <v>0</v>
      </c>
      <c r="G62" s="667">
        <f t="shared" si="5"/>
        <v>-1</v>
      </c>
    </row>
    <row r="63" spans="1:7" ht="15.75" thickBot="1">
      <c r="A63" s="661" t="s">
        <v>137</v>
      </c>
      <c r="B63" s="662">
        <f>+'Anexo 1 - Balance'!F31</f>
        <v>32478.819</v>
      </c>
      <c r="C63" s="662">
        <f>+'Anexo 1 - Balance'!I31</f>
        <v>50547</v>
      </c>
      <c r="D63" s="662">
        <f>+'Anexo 1 - Balance'!J31</f>
        <v>78654.81</v>
      </c>
      <c r="E63" s="758">
        <f t="shared" si="3"/>
        <v>1</v>
      </c>
      <c r="F63" s="668">
        <f t="shared" si="4"/>
        <v>0.55607276396225291</v>
      </c>
      <c r="G63" s="669">
        <f t="shared" si="5"/>
        <v>1.4217262949123857</v>
      </c>
    </row>
    <row r="64" spans="1:7" ht="15.75" thickTop="1"/>
    <row r="69" spans="1:7">
      <c r="A69" s="147" t="s">
        <v>148</v>
      </c>
      <c r="B69" s="316">
        <v>0</v>
      </c>
      <c r="C69" s="573">
        <v>0</v>
      </c>
      <c r="D69" s="622">
        <v>0</v>
      </c>
      <c r="E69" s="500">
        <f>+D69/$D$8</f>
        <v>0</v>
      </c>
    </row>
    <row r="70" spans="1:7" ht="15.75" thickBot="1"/>
    <row r="71" spans="1:7" ht="16.5" thickTop="1" thickBot="1">
      <c r="A71" s="656"/>
      <c r="B71" s="657">
        <v>2010</v>
      </c>
      <c r="C71" s="657">
        <v>2013</v>
      </c>
      <c r="D71" s="657">
        <v>2014</v>
      </c>
      <c r="E71" s="670" t="s">
        <v>924</v>
      </c>
      <c r="F71" s="255" t="s">
        <v>923</v>
      </c>
      <c r="G71" s="256" t="s">
        <v>658</v>
      </c>
    </row>
    <row r="72" spans="1:7" ht="15.75" thickTop="1">
      <c r="A72" s="675" t="s">
        <v>206</v>
      </c>
      <c r="B72" s="676">
        <f>+'Anexo 1 - Balance'!F157</f>
        <v>36723.341</v>
      </c>
      <c r="C72" s="676">
        <f>+'Anexo 1 - Balance'!I157</f>
        <v>44286</v>
      </c>
      <c r="D72" s="676">
        <f>+'Anexo 1 - Balance'!J157</f>
        <v>65594.035999999993</v>
      </c>
      <c r="E72" s="677">
        <f>+D72/$D$90</f>
        <v>1</v>
      </c>
      <c r="F72" s="681">
        <f>+(D72/C72)-1</f>
        <v>0.48114609583163959</v>
      </c>
      <c r="G72" s="682">
        <f>+(D72/B72)-1</f>
        <v>0.78616744048424114</v>
      </c>
    </row>
    <row r="73" spans="1:7">
      <c r="A73" s="145" t="s">
        <v>209</v>
      </c>
      <c r="B73" s="315">
        <f>+'Anexo 1 - Balance'!F205</f>
        <v>0</v>
      </c>
      <c r="C73" s="315">
        <f>+'Anexo 1 - Balance'!I205</f>
        <v>283</v>
      </c>
      <c r="D73" s="315">
        <f>+'Anexo 1 - Balance'!J205</f>
        <v>0</v>
      </c>
      <c r="E73" s="678">
        <f>+D73/$D$90</f>
        <v>0</v>
      </c>
      <c r="F73" s="679" t="s">
        <v>711</v>
      </c>
      <c r="G73" s="680" t="s">
        <v>711</v>
      </c>
    </row>
    <row r="74" spans="1:7" ht="15.75" thickBot="1">
      <c r="A74" s="661" t="s">
        <v>63</v>
      </c>
      <c r="B74" s="662">
        <f>+'Anexo 1 - Balance'!F206</f>
        <v>36723.341</v>
      </c>
      <c r="C74" s="662">
        <f>+'Anexo 1 - Balance'!I206</f>
        <v>44569</v>
      </c>
      <c r="D74" s="662">
        <f>+'Anexo 1 - Balance'!J206</f>
        <v>65594.035999999993</v>
      </c>
      <c r="E74" s="674">
        <f>+D74/$D$90</f>
        <v>1</v>
      </c>
      <c r="F74" s="683">
        <f>+(D74/C74)-1</f>
        <v>0.4717412551324911</v>
      </c>
      <c r="G74" s="684">
        <f>+(D74/B74)-1</f>
        <v>0.78616744048424114</v>
      </c>
    </row>
    <row r="75" spans="1:7" ht="15.75" thickTop="1"/>
    <row r="77" spans="1:7">
      <c r="A77" s="64" t="s">
        <v>714</v>
      </c>
      <c r="D77" s="615">
        <f>+'Anexo - Balance Sector '!I49</f>
        <v>2222508</v>
      </c>
      <c r="E77" s="701">
        <f>+D74/D77</f>
        <v>2.9513520761230101E-2</v>
      </c>
    </row>
    <row r="81" spans="1:7" ht="15.75" thickBot="1"/>
    <row r="82" spans="1:7" ht="15.75" thickTop="1">
      <c r="A82" s="656"/>
      <c r="B82" s="657">
        <v>2010</v>
      </c>
      <c r="C82" s="657">
        <v>2013</v>
      </c>
      <c r="D82" s="657">
        <v>2014</v>
      </c>
      <c r="E82" s="670" t="s">
        <v>924</v>
      </c>
      <c r="F82" s="255" t="s">
        <v>923</v>
      </c>
      <c r="G82" s="256" t="s">
        <v>658</v>
      </c>
    </row>
    <row r="83" spans="1:7">
      <c r="A83" s="145" t="s">
        <v>165</v>
      </c>
      <c r="B83" s="315">
        <f>+'Anexo 1 - Balance'!F108</f>
        <v>1120.731</v>
      </c>
      <c r="C83" s="315">
        <f>+'Anexo 1 - Balance'!I108</f>
        <v>3811</v>
      </c>
      <c r="D83" s="315">
        <f>+'Anexo 1 - Balance'!J108</f>
        <v>3100.7890000000002</v>
      </c>
      <c r="E83" s="678">
        <f t="shared" ref="E83:E90" si="6">+D83/$D$90</f>
        <v>4.7272422755019992E-2</v>
      </c>
      <c r="F83" s="679">
        <f t="shared" ref="F83:F90" si="7">+(D83/C83)-1</f>
        <v>-0.18635817370768826</v>
      </c>
      <c r="G83" s="680">
        <f>+(D83/B83)-1</f>
        <v>1.7667558049166128</v>
      </c>
    </row>
    <row r="84" spans="1:7">
      <c r="A84" s="145" t="s">
        <v>182</v>
      </c>
      <c r="B84" s="315">
        <f>+'Anexo 1 - Balance'!F127</f>
        <v>19011.383000000002</v>
      </c>
      <c r="C84" s="315">
        <f>+'Anexo 1 - Balance'!I127</f>
        <v>23456</v>
      </c>
      <c r="D84" s="315">
        <f>+'Anexo 1 - Balance'!J127</f>
        <v>46494.622000000003</v>
      </c>
      <c r="E84" s="678">
        <f t="shared" si="6"/>
        <v>0.7088239241750578</v>
      </c>
      <c r="F84" s="679">
        <f t="shared" si="7"/>
        <v>0.98220591746248309</v>
      </c>
      <c r="G84" s="680">
        <f t="shared" ref="G84:G90" si="8">+(D84/B84)-1</f>
        <v>1.4456201844968355</v>
      </c>
    </row>
    <row r="85" spans="1:7">
      <c r="A85" s="145" t="s">
        <v>183</v>
      </c>
      <c r="B85" s="315">
        <f>+'Anexo 1 - Balance'!F128</f>
        <v>3579.42</v>
      </c>
      <c r="C85" s="315">
        <f>+'Anexo 1 - Balance'!I128</f>
        <v>4336</v>
      </c>
      <c r="D85" s="315">
        <f>+'Anexo 1 - Balance'!J128</f>
        <v>5001.5959999999995</v>
      </c>
      <c r="E85" s="678">
        <f t="shared" si="6"/>
        <v>7.6250773774615727E-2</v>
      </c>
      <c r="F85" s="679">
        <f t="shared" si="7"/>
        <v>0.15350461254612546</v>
      </c>
      <c r="G85" s="680">
        <f t="shared" si="8"/>
        <v>0.39732023623939061</v>
      </c>
    </row>
    <row r="86" spans="1:7">
      <c r="A86" s="145" t="s">
        <v>184</v>
      </c>
      <c r="B86" s="315">
        <f>+'Anexo 1 - Balance'!F129</f>
        <v>3009.8159999999998</v>
      </c>
      <c r="C86" s="315">
        <f>+'Anexo 1 - Balance'!I129</f>
        <v>3760</v>
      </c>
      <c r="D86" s="315">
        <f>+'Anexo 1 - Balance'!J129</f>
        <v>4072.259</v>
      </c>
      <c r="E86" s="678">
        <f t="shared" si="6"/>
        <v>6.2082763134136167E-2</v>
      </c>
      <c r="F86" s="679">
        <f t="shared" si="7"/>
        <v>8.3047606382978811E-2</v>
      </c>
      <c r="G86" s="680">
        <f t="shared" si="8"/>
        <v>0.3529926746352603</v>
      </c>
    </row>
    <row r="87" spans="1:7">
      <c r="A87" s="145" t="s">
        <v>192</v>
      </c>
      <c r="B87" s="315">
        <f>+'Anexo 1 - Balance'!F139</f>
        <v>6445.9440000000004</v>
      </c>
      <c r="C87" s="315">
        <f>+'Anexo 1 - Balance'!I139</f>
        <v>7994</v>
      </c>
      <c r="D87" s="315">
        <f>+'Anexo 1 - Balance'!J139</f>
        <v>6345.9559999999992</v>
      </c>
      <c r="E87" s="678">
        <f t="shared" si="6"/>
        <v>9.6745929767151392E-2</v>
      </c>
      <c r="F87" s="679">
        <f t="shared" si="7"/>
        <v>-0.20616012009006768</v>
      </c>
      <c r="G87" s="680">
        <f t="shared" si="8"/>
        <v>-1.5511769881960014E-2</v>
      </c>
    </row>
    <row r="88" spans="1:7">
      <c r="A88" s="145" t="s">
        <v>193</v>
      </c>
      <c r="B88" s="315">
        <f>+'Anexo 1 - Balance'!F140</f>
        <v>3556.047</v>
      </c>
      <c r="C88" s="315">
        <f>+'Anexo 1 - Balance'!I140</f>
        <v>929</v>
      </c>
      <c r="D88" s="315">
        <f>+'Anexo 1 - Balance'!J140</f>
        <v>938.81399999999996</v>
      </c>
      <c r="E88" s="678">
        <f t="shared" si="6"/>
        <v>1.4312490239204065E-2</v>
      </c>
      <c r="F88" s="679">
        <f t="shared" si="7"/>
        <v>1.0564047362755513E-2</v>
      </c>
      <c r="G88" s="680">
        <f t="shared" si="8"/>
        <v>-0.73599505293377732</v>
      </c>
    </row>
    <row r="89" spans="1:7">
      <c r="A89" s="145" t="s">
        <v>208</v>
      </c>
      <c r="B89" s="315">
        <f>+'Anexo 1 - Balance'!F173</f>
        <v>0</v>
      </c>
      <c r="C89" s="315">
        <f>+'Anexo 1 - Balance'!I173</f>
        <v>0</v>
      </c>
      <c r="D89" s="315">
        <f>+'Anexo 1 - Balance'!J173</f>
        <v>0</v>
      </c>
      <c r="E89" s="678">
        <f t="shared" si="6"/>
        <v>0</v>
      </c>
      <c r="F89" s="679">
        <f>+IFERROR((D89/C89)-1,0)</f>
        <v>0</v>
      </c>
      <c r="G89" s="680">
        <f>+IFERROR((D89/B89)-1,0)</f>
        <v>0</v>
      </c>
    </row>
    <row r="90" spans="1:7" ht="15.75" thickBot="1">
      <c r="A90" s="661" t="s">
        <v>63</v>
      </c>
      <c r="B90" s="662">
        <f>+'Anexo 1 - Balance'!F206</f>
        <v>36723.341</v>
      </c>
      <c r="C90" s="662">
        <f>+'Anexo 1 - Balance'!I206</f>
        <v>44569</v>
      </c>
      <c r="D90" s="662">
        <f>+'Anexo 1 - Balance'!J206</f>
        <v>65594.035999999993</v>
      </c>
      <c r="E90" s="685">
        <f t="shared" si="6"/>
        <v>1</v>
      </c>
      <c r="F90" s="683">
        <f t="shared" si="7"/>
        <v>0.4717412551324911</v>
      </c>
      <c r="G90" s="684">
        <f t="shared" si="8"/>
        <v>0.78616744048424114</v>
      </c>
    </row>
    <row r="91" spans="1:7" ht="15.75" thickTop="1"/>
    <row r="99" spans="1:7" ht="15.75" thickBot="1"/>
    <row r="100" spans="1:7" ht="15.75" thickTop="1">
      <c r="A100" s="656"/>
      <c r="B100" s="657">
        <v>2010</v>
      </c>
      <c r="C100" s="657">
        <v>2013</v>
      </c>
      <c r="D100" s="657">
        <v>2014</v>
      </c>
      <c r="E100" s="686" t="s">
        <v>924</v>
      </c>
      <c r="F100" s="255" t="s">
        <v>923</v>
      </c>
      <c r="G100" s="256" t="s">
        <v>658</v>
      </c>
    </row>
    <row r="101" spans="1:7">
      <c r="A101" s="145" t="s">
        <v>210</v>
      </c>
      <c r="B101" s="315">
        <f>+'Anexo 1 - Balance'!F214</f>
        <v>7699.7690000000002</v>
      </c>
      <c r="C101" s="315">
        <f>+'Anexo 1 - Balance'!I214</f>
        <v>7700</v>
      </c>
      <c r="D101" s="315">
        <f>+'Anexo 1 - Balance'!J214</f>
        <v>7699.7690000000002</v>
      </c>
      <c r="E101" s="678">
        <f>+D101/$D$105</f>
        <v>0.24652472158439598</v>
      </c>
      <c r="F101" s="679">
        <f>+(D101/C101)-1</f>
        <v>-2.9999999999974492E-5</v>
      </c>
      <c r="G101" s="680">
        <f>+(D101/B101)-1</f>
        <v>0</v>
      </c>
    </row>
    <row r="102" spans="1:7">
      <c r="A102" s="145" t="s">
        <v>211</v>
      </c>
      <c r="B102" s="315">
        <f>+'Anexo 1 - Balance'!F221</f>
        <v>29806.920999999998</v>
      </c>
      <c r="C102" s="315">
        <f>+'Anexo 1 - Balance'!I221</f>
        <v>4210</v>
      </c>
      <c r="D102" s="315">
        <f>+'Anexo 1 - Balance'!J221</f>
        <v>4209.607</v>
      </c>
      <c r="E102" s="678">
        <f>+D102/$D$105</f>
        <v>0.13477965295513727</v>
      </c>
      <c r="F102" s="679">
        <f>+(D102/C102)-1</f>
        <v>-9.334916864611742E-5</v>
      </c>
      <c r="G102" s="680">
        <f>+(D102/B102)-1</f>
        <v>-0.85877082037423458</v>
      </c>
    </row>
    <row r="103" spans="1:7">
      <c r="A103" s="145" t="s">
        <v>212</v>
      </c>
      <c r="B103" s="315">
        <f>+'Anexo 1 - Balance'!F222</f>
        <v>9414.8310000000001</v>
      </c>
      <c r="C103" s="315">
        <f>+'Anexo 1 - Balance'!I222</f>
        <v>4309</v>
      </c>
      <c r="D103" s="315">
        <f>+'Anexo 1 - Balance'!J222</f>
        <v>4308.5420000000004</v>
      </c>
      <c r="E103" s="678">
        <f>+D103/$D$105</f>
        <v>0.13794727049404684</v>
      </c>
      <c r="F103" s="679">
        <f>+(D103/C103)-1</f>
        <v>-1.0628916221855356E-4</v>
      </c>
      <c r="G103" s="680">
        <f>+(D103/B103)-1</f>
        <v>-0.54236650663192987</v>
      </c>
    </row>
    <row r="104" spans="1:7">
      <c r="A104" s="145" t="s">
        <v>213</v>
      </c>
      <c r="B104" s="315">
        <f>+'Anexo 1 - Balance'!F224</f>
        <v>18180.749</v>
      </c>
      <c r="C104" s="315">
        <f>+'Anexo 1 - Balance'!I224</f>
        <v>13841</v>
      </c>
      <c r="D104" s="315">
        <f>+'Anexo 1 - Balance'!J224</f>
        <v>15015.334999999999</v>
      </c>
      <c r="E104" s="678">
        <f>+D104/$D$105</f>
        <v>0.48074835496641988</v>
      </c>
      <c r="F104" s="679">
        <f>+(D104/C104)-1</f>
        <v>8.4844664402861092E-2</v>
      </c>
      <c r="G104" s="680">
        <f>+(D104/B104)-1</f>
        <v>-0.17410800842143526</v>
      </c>
    </row>
    <row r="105" spans="1:7" ht="15.75" thickBot="1">
      <c r="A105" s="661" t="s">
        <v>216</v>
      </c>
      <c r="B105" s="662">
        <f>+'Anexo 1 - Balance'!F229</f>
        <v>65102.27</v>
      </c>
      <c r="C105" s="662">
        <f>+'Anexo 1 - Balance'!I229</f>
        <v>30059</v>
      </c>
      <c r="D105" s="662">
        <f>+'Anexo 1 - Balance'!J229</f>
        <v>31233.253000000001</v>
      </c>
      <c r="E105" s="674">
        <f>+D105/$D$105</f>
        <v>1</v>
      </c>
      <c r="F105" s="683">
        <f>+(D105/C105)-1</f>
        <v>3.9064938953391692E-2</v>
      </c>
      <c r="G105" s="684">
        <f>+(D105/B105)-1</f>
        <v>-0.5202432572627651</v>
      </c>
    </row>
    <row r="106" spans="1:7" ht="15.75" thickTop="1"/>
  </sheetData>
  <pageMargins left="0.7" right="0.7" top="0.75" bottom="0.75" header="0.3" footer="0.3"/>
  <pageSetup orientation="portrait" horizontalDpi="150" verticalDpi="150" r:id="rId1"/>
  <ignoredErrors>
    <ignoredError sqref="F58:F63 F89:G89" formula="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0"/>
  <sheetViews>
    <sheetView workbookViewId="0">
      <selection activeCell="D9" sqref="D9"/>
    </sheetView>
  </sheetViews>
  <sheetFormatPr baseColWidth="10" defaultColWidth="0" defaultRowHeight="12.75" customHeight="1" zeroHeight="1"/>
  <cols>
    <col min="1" max="1" width="23.28515625" style="831" customWidth="1"/>
    <col min="2" max="2" width="11.42578125" style="812" customWidth="1"/>
    <col min="3" max="3" width="14.85546875" style="812" customWidth="1"/>
    <col min="4" max="4" width="76.85546875" style="812" customWidth="1"/>
    <col min="5" max="5" width="19.7109375" style="812" customWidth="1"/>
    <col min="6" max="6" width="7.140625" style="815" customWidth="1"/>
    <col min="7" max="16384" width="11.42578125" style="814" hidden="1"/>
  </cols>
  <sheetData>
    <row r="1" spans="2:6">
      <c r="F1" s="813"/>
    </row>
    <row r="2" spans="2:6"/>
    <row r="3" spans="2:6"/>
    <row r="4" spans="2:6"/>
    <row r="5" spans="2:6"/>
    <row r="6" spans="2:6"/>
    <row r="7" spans="2:6" ht="13.5" thickBot="1"/>
    <row r="8" spans="2:6">
      <c r="B8" s="1581" t="s">
        <v>932</v>
      </c>
      <c r="C8" s="1582"/>
      <c r="D8" s="816"/>
    </row>
    <row r="9" spans="2:6" ht="270.75" customHeight="1">
      <c r="B9" s="1583"/>
      <c r="C9" s="1584"/>
      <c r="D9" s="817" t="s">
        <v>1190</v>
      </c>
    </row>
    <row r="10" spans="2:6" ht="13.5" thickBot="1">
      <c r="B10" s="1585"/>
      <c r="C10" s="1586"/>
      <c r="D10" s="818"/>
    </row>
    <row r="11" spans="2:6" ht="13.5" thickBot="1">
      <c r="B11" s="819"/>
      <c r="C11" s="819"/>
      <c r="D11" s="819"/>
    </row>
    <row r="12" spans="2:6" ht="89.25" customHeight="1">
      <c r="B12" s="1588" t="s">
        <v>933</v>
      </c>
      <c r="C12" s="1589"/>
      <c r="D12" s="1594" t="s">
        <v>1191</v>
      </c>
    </row>
    <row r="13" spans="2:6">
      <c r="B13" s="1590"/>
      <c r="C13" s="1591"/>
      <c r="D13" s="1595"/>
    </row>
    <row r="14" spans="2:6" ht="12.75" customHeight="1">
      <c r="B14" s="1590"/>
      <c r="C14" s="1591"/>
      <c r="D14" s="1595"/>
    </row>
    <row r="15" spans="2:6">
      <c r="B15" s="1590"/>
      <c r="C15" s="1591"/>
      <c r="D15" s="1595"/>
    </row>
    <row r="16" spans="2:6">
      <c r="B16" s="1590"/>
      <c r="C16" s="1591"/>
      <c r="D16" s="1595"/>
    </row>
    <row r="17" spans="2:4">
      <c r="B17" s="1590"/>
      <c r="C17" s="1591"/>
      <c r="D17" s="1595"/>
    </row>
    <row r="18" spans="2:4" ht="13.5" thickBot="1">
      <c r="B18" s="1592"/>
      <c r="C18" s="1593"/>
      <c r="D18" s="1596"/>
    </row>
    <row r="19" spans="2:4" ht="13.5" thickBot="1">
      <c r="B19" s="819"/>
      <c r="C19" s="819"/>
      <c r="D19" s="819"/>
    </row>
    <row r="20" spans="2:4" ht="63.75" customHeight="1">
      <c r="B20" s="1597" t="s">
        <v>934</v>
      </c>
      <c r="C20" s="1598"/>
      <c r="D20" s="1579" t="s">
        <v>1192</v>
      </c>
    </row>
    <row r="21" spans="2:4">
      <c r="B21" s="1599"/>
      <c r="C21" s="1600"/>
      <c r="D21" s="1603"/>
    </row>
    <row r="22" spans="2:4">
      <c r="B22" s="1599"/>
      <c r="C22" s="1600"/>
      <c r="D22" s="1603"/>
    </row>
    <row r="23" spans="2:4">
      <c r="B23" s="1599"/>
      <c r="C23" s="1600"/>
      <c r="D23" s="1603"/>
    </row>
    <row r="24" spans="2:4">
      <c r="B24" s="1599"/>
      <c r="C24" s="1600"/>
      <c r="D24" s="1603"/>
    </row>
    <row r="25" spans="2:4" ht="13.5" thickBot="1">
      <c r="B25" s="1601"/>
      <c r="C25" s="1602"/>
      <c r="D25" s="1580"/>
    </row>
    <row r="26" spans="2:4" ht="13.5" thickBot="1">
      <c r="B26" s="819"/>
      <c r="C26" s="819"/>
      <c r="D26" s="819"/>
    </row>
    <row r="27" spans="2:4" ht="16.5" customHeight="1">
      <c r="B27" s="1597" t="s">
        <v>935</v>
      </c>
      <c r="C27" s="1604"/>
      <c r="D27" s="1594"/>
    </row>
    <row r="28" spans="2:4" ht="16.5" customHeight="1">
      <c r="B28" s="1599"/>
      <c r="C28" s="1605"/>
      <c r="D28" s="1607"/>
    </row>
    <row r="29" spans="2:4" ht="16.5" customHeight="1">
      <c r="B29" s="1599"/>
      <c r="C29" s="1605"/>
      <c r="D29" s="1607"/>
    </row>
    <row r="30" spans="2:4" ht="16.5" customHeight="1">
      <c r="B30" s="1599"/>
      <c r="C30" s="1605"/>
      <c r="D30" s="1607"/>
    </row>
    <row r="31" spans="2:4" ht="16.5" customHeight="1">
      <c r="B31" s="1599"/>
      <c r="C31" s="1605"/>
      <c r="D31" s="1607"/>
    </row>
    <row r="32" spans="2:4" ht="16.5" customHeight="1">
      <c r="B32" s="1599"/>
      <c r="C32" s="1605"/>
      <c r="D32" s="1607"/>
    </row>
    <row r="33" spans="2:4" ht="16.5" customHeight="1">
      <c r="B33" s="1599"/>
      <c r="C33" s="1605"/>
      <c r="D33" s="1607"/>
    </row>
    <row r="34" spans="2:4" ht="16.5" customHeight="1">
      <c r="B34" s="1599"/>
      <c r="C34" s="1605"/>
      <c r="D34" s="1607"/>
    </row>
    <row r="35" spans="2:4" ht="16.5" customHeight="1">
      <c r="B35" s="1599"/>
      <c r="C35" s="1605"/>
      <c r="D35" s="1607"/>
    </row>
    <row r="36" spans="2:4" ht="16.5" customHeight="1">
      <c r="B36" s="1599"/>
      <c r="C36" s="1605"/>
      <c r="D36" s="1607"/>
    </row>
    <row r="37" spans="2:4" ht="16.5" customHeight="1">
      <c r="B37" s="1599"/>
      <c r="C37" s="1605"/>
      <c r="D37" s="1607"/>
    </row>
    <row r="38" spans="2:4" ht="16.5" customHeight="1">
      <c r="B38" s="1599"/>
      <c r="C38" s="1605"/>
      <c r="D38" s="1607"/>
    </row>
    <row r="39" spans="2:4" ht="16.5" customHeight="1">
      <c r="B39" s="1599"/>
      <c r="C39" s="1605"/>
      <c r="D39" s="1607"/>
    </row>
    <row r="40" spans="2:4" ht="16.5" customHeight="1">
      <c r="B40" s="1599"/>
      <c r="C40" s="1605"/>
      <c r="D40" s="1607"/>
    </row>
    <row r="41" spans="2:4" ht="16.5" customHeight="1">
      <c r="B41" s="1599"/>
      <c r="C41" s="1605"/>
      <c r="D41" s="1607"/>
    </row>
    <row r="42" spans="2:4" ht="16.5" customHeight="1">
      <c r="B42" s="1599"/>
      <c r="C42" s="1605"/>
      <c r="D42" s="1607"/>
    </row>
    <row r="43" spans="2:4" ht="16.5" customHeight="1">
      <c r="B43" s="1599"/>
      <c r="C43" s="1605"/>
      <c r="D43" s="1607"/>
    </row>
    <row r="44" spans="2:4" ht="16.5" customHeight="1">
      <c r="B44" s="1599"/>
      <c r="C44" s="1605"/>
      <c r="D44" s="1607"/>
    </row>
    <row r="45" spans="2:4" ht="16.5" customHeight="1">
      <c r="B45" s="1599"/>
      <c r="C45" s="1605"/>
      <c r="D45" s="1607"/>
    </row>
    <row r="46" spans="2:4" ht="16.5" customHeight="1">
      <c r="B46" s="1599"/>
      <c r="C46" s="1605"/>
      <c r="D46" s="1607"/>
    </row>
    <row r="47" spans="2:4" ht="16.5" customHeight="1">
      <c r="B47" s="1599"/>
      <c r="C47" s="1605"/>
      <c r="D47" s="1607"/>
    </row>
    <row r="48" spans="2:4" ht="16.5" customHeight="1">
      <c r="B48" s="1599"/>
      <c r="C48" s="1605"/>
      <c r="D48" s="1607"/>
    </row>
    <row r="49" spans="2:4" ht="16.5" customHeight="1">
      <c r="B49" s="1599"/>
      <c r="C49" s="1605"/>
      <c r="D49" s="1607"/>
    </row>
    <row r="50" spans="2:4" ht="16.5" customHeight="1" thickBot="1">
      <c r="B50" s="1601"/>
      <c r="C50" s="1606"/>
      <c r="D50" s="1608"/>
    </row>
    <row r="51" spans="2:4" ht="13.5" thickBot="1">
      <c r="B51" s="819"/>
      <c r="C51" s="819"/>
      <c r="D51" s="819"/>
    </row>
    <row r="52" spans="2:4">
      <c r="B52" s="1581" t="s">
        <v>936</v>
      </c>
      <c r="C52" s="1582"/>
      <c r="D52" s="820"/>
    </row>
    <row r="53" spans="2:4">
      <c r="B53" s="1583"/>
      <c r="C53" s="1584"/>
      <c r="D53" s="821"/>
    </row>
    <row r="54" spans="2:4">
      <c r="B54" s="1583"/>
      <c r="C54" s="1584"/>
      <c r="D54" s="821"/>
    </row>
    <row r="55" spans="2:4">
      <c r="B55" s="1583"/>
      <c r="C55" s="1584"/>
      <c r="D55" s="821"/>
    </row>
    <row r="56" spans="2:4">
      <c r="B56" s="1583"/>
      <c r="C56" s="1584"/>
      <c r="D56" s="821"/>
    </row>
    <row r="57" spans="2:4">
      <c r="B57" s="1583"/>
      <c r="C57" s="1584"/>
      <c r="D57" s="821"/>
    </row>
    <row r="58" spans="2:4">
      <c r="B58" s="1583"/>
      <c r="C58" s="1584"/>
      <c r="D58" s="821"/>
    </row>
    <row r="59" spans="2:4">
      <c r="B59" s="1583"/>
      <c r="C59" s="1584"/>
      <c r="D59" s="821"/>
    </row>
    <row r="60" spans="2:4">
      <c r="B60" s="1583"/>
      <c r="C60" s="1584"/>
      <c r="D60" s="821"/>
    </row>
    <row r="61" spans="2:4">
      <c r="B61" s="1583"/>
      <c r="C61" s="1584"/>
      <c r="D61" s="821"/>
    </row>
    <row r="62" spans="2:4">
      <c r="B62" s="1583"/>
      <c r="C62" s="1584"/>
      <c r="D62" s="821"/>
    </row>
    <row r="63" spans="2:4">
      <c r="B63" s="1583"/>
      <c r="C63" s="1584"/>
      <c r="D63" s="821"/>
    </row>
    <row r="64" spans="2:4">
      <c r="B64" s="1583"/>
      <c r="C64" s="1584"/>
      <c r="D64" s="821"/>
    </row>
    <row r="65" spans="2:4" ht="13.5" thickBot="1">
      <c r="B65" s="1585"/>
      <c r="C65" s="1586"/>
      <c r="D65" s="822"/>
    </row>
    <row r="66" spans="2:4" ht="13.5" thickBot="1">
      <c r="B66" s="819"/>
      <c r="C66" s="819"/>
      <c r="D66" s="819"/>
    </row>
    <row r="67" spans="2:4" ht="42" customHeight="1" thickBot="1">
      <c r="B67" s="1613" t="s">
        <v>937</v>
      </c>
      <c r="C67" s="1614"/>
      <c r="D67" s="823" t="s">
        <v>1193</v>
      </c>
    </row>
    <row r="68" spans="2:4" ht="13.5" thickBot="1">
      <c r="B68" s="819"/>
      <c r="C68" s="819"/>
      <c r="D68" s="819"/>
    </row>
    <row r="69" spans="2:4">
      <c r="B69" s="1597" t="s">
        <v>938</v>
      </c>
      <c r="C69" s="1598"/>
      <c r="D69" s="1579" t="s">
        <v>1194</v>
      </c>
    </row>
    <row r="70" spans="2:4" ht="13.5" thickBot="1">
      <c r="B70" s="1601"/>
      <c r="C70" s="1602"/>
      <c r="D70" s="1580"/>
    </row>
    <row r="71" spans="2:4" ht="13.5" thickBot="1">
      <c r="B71" s="819"/>
      <c r="C71" s="819"/>
      <c r="D71" s="819"/>
    </row>
    <row r="72" spans="2:4">
      <c r="B72" s="1581" t="s">
        <v>939</v>
      </c>
      <c r="C72" s="1582"/>
      <c r="D72" s="824"/>
    </row>
    <row r="73" spans="2:4" ht="15" customHeight="1">
      <c r="B73" s="1583"/>
      <c r="C73" s="1584"/>
      <c r="D73" s="1587" t="s">
        <v>1195</v>
      </c>
    </row>
    <row r="74" spans="2:4">
      <c r="B74" s="1583"/>
      <c r="C74" s="1584"/>
      <c r="D74" s="1587"/>
    </row>
    <row r="75" spans="2:4">
      <c r="B75" s="1583"/>
      <c r="C75" s="1584"/>
      <c r="D75" s="1587"/>
    </row>
    <row r="76" spans="2:4">
      <c r="B76" s="1583"/>
      <c r="C76" s="1584"/>
      <c r="D76" s="1587"/>
    </row>
    <row r="77" spans="2:4">
      <c r="B77" s="1583"/>
      <c r="C77" s="1584"/>
      <c r="D77" s="1587"/>
    </row>
    <row r="78" spans="2:4">
      <c r="B78" s="1583"/>
      <c r="C78" s="1584"/>
      <c r="D78" s="825"/>
    </row>
    <row r="79" spans="2:4" ht="13.5" thickBot="1">
      <c r="B79" s="1585"/>
      <c r="C79" s="1586"/>
      <c r="D79" s="826"/>
    </row>
    <row r="80" spans="2:4">
      <c r="B80" s="819"/>
      <c r="C80" s="819"/>
      <c r="D80" s="819"/>
    </row>
    <row r="81" spans="2:4" hidden="1">
      <c r="B81" s="1609"/>
      <c r="C81" s="1610"/>
      <c r="D81" s="827"/>
    </row>
    <row r="82" spans="2:4" hidden="1">
      <c r="B82" s="1609"/>
      <c r="C82" s="1610"/>
      <c r="D82" s="827"/>
    </row>
    <row r="83" spans="2:4" hidden="1">
      <c r="B83" s="1609"/>
      <c r="C83" s="1610"/>
      <c r="D83" s="827"/>
    </row>
    <row r="84" spans="2:4" hidden="1">
      <c r="B84" s="1609"/>
      <c r="C84" s="1610"/>
      <c r="D84" s="827"/>
    </row>
    <row r="85" spans="2:4" hidden="1">
      <c r="B85" s="1609"/>
      <c r="C85" s="1610"/>
      <c r="D85" s="827"/>
    </row>
    <row r="86" spans="2:4" hidden="1">
      <c r="B86" s="1609"/>
      <c r="C86" s="1610"/>
      <c r="D86" s="827"/>
    </row>
    <row r="87" spans="2:4" hidden="1">
      <c r="B87" s="1609"/>
      <c r="C87" s="1610"/>
      <c r="D87" s="827"/>
    </row>
    <row r="88" spans="2:4" hidden="1">
      <c r="B88" s="1609"/>
      <c r="C88" s="1610"/>
      <c r="D88" s="827"/>
    </row>
    <row r="89" spans="2:4" hidden="1">
      <c r="B89" s="1609"/>
      <c r="C89" s="1610"/>
      <c r="D89" s="827"/>
    </row>
    <row r="90" spans="2:4" hidden="1">
      <c r="B90" s="1609"/>
      <c r="C90" s="1610"/>
      <c r="D90" s="827"/>
    </row>
    <row r="91" spans="2:4" ht="13.5" hidden="1" thickBot="1">
      <c r="B91" s="1611"/>
      <c r="C91" s="1612"/>
      <c r="D91" s="828"/>
    </row>
    <row r="92" spans="2:4" ht="13.5" thickBot="1">
      <c r="B92" s="819"/>
      <c r="C92" s="819"/>
      <c r="D92" s="819"/>
    </row>
    <row r="93" spans="2:4">
      <c r="B93" s="1597" t="s">
        <v>940</v>
      </c>
      <c r="C93" s="1598"/>
      <c r="D93" s="829"/>
    </row>
    <row r="94" spans="2:4">
      <c r="B94" s="1599"/>
      <c r="C94" s="1600"/>
      <c r="D94" s="830"/>
    </row>
    <row r="95" spans="2:4">
      <c r="B95" s="1599"/>
      <c r="C95" s="1600"/>
      <c r="D95" s="830"/>
    </row>
    <row r="96" spans="2:4" ht="42" customHeight="1">
      <c r="B96" s="1599"/>
      <c r="C96" s="1600"/>
      <c r="D96" s="830"/>
    </row>
    <row r="97" spans="1:4">
      <c r="B97" s="1599"/>
      <c r="C97" s="1600"/>
      <c r="D97" s="830"/>
    </row>
    <row r="98" spans="1:4">
      <c r="B98" s="1599"/>
      <c r="C98" s="1600"/>
      <c r="D98" s="830"/>
    </row>
    <row r="99" spans="1:4">
      <c r="B99" s="1599"/>
      <c r="C99" s="1600"/>
      <c r="D99" s="830"/>
    </row>
    <row r="100" spans="1:4">
      <c r="B100" s="1599"/>
      <c r="C100" s="1600"/>
      <c r="D100" s="830"/>
    </row>
    <row r="101" spans="1:4" ht="13.5" thickBot="1">
      <c r="B101" s="1601"/>
      <c r="C101" s="1602"/>
      <c r="D101" s="832"/>
    </row>
    <row r="102" spans="1:4">
      <c r="B102" s="819"/>
      <c r="C102" s="819"/>
      <c r="D102" s="819"/>
    </row>
    <row r="103" spans="1:4">
      <c r="B103" s="833"/>
      <c r="C103" s="819"/>
      <c r="D103" s="819"/>
    </row>
    <row r="104" spans="1:4">
      <c r="A104" s="814"/>
      <c r="B104" s="834"/>
    </row>
    <row r="105" spans="1:4">
      <c r="A105" s="814"/>
      <c r="B105" s="834"/>
    </row>
    <row r="106" spans="1:4"/>
    <row r="107" spans="1:4" hidden="1"/>
    <row r="108" spans="1:4" hidden="1"/>
    <row r="109" spans="1:4" hidden="1"/>
    <row r="110" spans="1:4" hidden="1"/>
    <row r="111" spans="1:4" hidden="1"/>
    <row r="112" spans="1:4" hidden="1"/>
    <row r="113" hidden="1"/>
    <row r="114" hidden="1"/>
    <row r="115" hidden="1"/>
    <row r="116" hidden="1"/>
    <row r="117" hidden="1"/>
    <row r="118" hidden="1"/>
    <row r="119" hidden="1"/>
    <row r="120" hidden="1"/>
    <row r="121" hidden="1"/>
    <row r="122" hidden="1"/>
    <row r="123"/>
    <row r="124"/>
    <row r="125"/>
    <row r="126"/>
    <row r="127"/>
    <row r="128"/>
    <row r="129"/>
    <row r="130"/>
    <row r="131"/>
    <row r="132"/>
    <row r="133"/>
    <row r="134"/>
    <row r="135"/>
    <row r="136"/>
    <row r="137"/>
    <row r="138"/>
    <row r="139"/>
    <row r="140"/>
  </sheetData>
  <mergeCells count="15">
    <mergeCell ref="B81:C91"/>
    <mergeCell ref="B93:C101"/>
    <mergeCell ref="B52:C65"/>
    <mergeCell ref="B67:C67"/>
    <mergeCell ref="B69:C70"/>
    <mergeCell ref="D69:D70"/>
    <mergeCell ref="B72:C79"/>
    <mergeCell ref="D73:D77"/>
    <mergeCell ref="B8:C10"/>
    <mergeCell ref="B12:C18"/>
    <mergeCell ref="D12:D18"/>
    <mergeCell ref="B20:C25"/>
    <mergeCell ref="D20:D25"/>
    <mergeCell ref="B27:C50"/>
    <mergeCell ref="D27:D50"/>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showGridLines="0" workbookViewId="0">
      <selection activeCell="C9" sqref="C9"/>
    </sheetView>
  </sheetViews>
  <sheetFormatPr baseColWidth="10" defaultRowHeight="15"/>
  <cols>
    <col min="1" max="1" width="57.85546875" style="64" customWidth="1"/>
    <col min="2" max="5" width="6.42578125" style="64" bestFit="1" customWidth="1"/>
    <col min="6" max="6" width="6.5703125" style="64" bestFit="1" customWidth="1"/>
    <col min="7" max="10" width="6.42578125" style="64" bestFit="1" customWidth="1"/>
    <col min="11" max="16384" width="11.42578125" style="64"/>
  </cols>
  <sheetData>
    <row r="1" spans="1:10" ht="31.5">
      <c r="A1" s="835" t="s">
        <v>941</v>
      </c>
    </row>
    <row r="4" spans="1:10">
      <c r="B4" s="836">
        <v>2006</v>
      </c>
      <c r="C4" s="836">
        <v>2007</v>
      </c>
      <c r="D4" s="836">
        <v>2008</v>
      </c>
      <c r="E4" s="836">
        <v>2009</v>
      </c>
      <c r="F4" s="836">
        <v>2010</v>
      </c>
      <c r="G4" s="836">
        <v>2011</v>
      </c>
      <c r="H4" s="836">
        <v>2012</v>
      </c>
      <c r="I4" s="836">
        <v>2013</v>
      </c>
      <c r="J4" s="836">
        <v>2014</v>
      </c>
    </row>
    <row r="5" spans="1:10">
      <c r="A5" s="498" t="s">
        <v>211</v>
      </c>
      <c r="B5" s="83">
        <f>+'Anexo 1 - Balance'!B221</f>
        <v>31158.577000000001</v>
      </c>
      <c r="C5" s="83">
        <f>+'Anexo 1 - Balance'!C221</f>
        <v>26736.687000000002</v>
      </c>
      <c r="D5" s="83">
        <f>+'Anexo 1 - Balance'!D221</f>
        <v>32040.596000000001</v>
      </c>
      <c r="E5" s="83">
        <f>+'Anexo 1 - Balance'!E221</f>
        <v>43925.756000000001</v>
      </c>
      <c r="F5" s="83">
        <f>+'Anexo 1 - Balance'!F221</f>
        <v>29806.920999999998</v>
      </c>
      <c r="G5" s="83">
        <f>+'Anexo 1 - Balance'!G221</f>
        <v>36100.748</v>
      </c>
      <c r="H5" s="83">
        <f>+'Anexo 1 - Balance'!H221</f>
        <v>4209.607</v>
      </c>
      <c r="I5" s="83">
        <f>+'Anexo 1 - Balance'!I221</f>
        <v>4210</v>
      </c>
      <c r="J5" s="83">
        <f>+'Anexo 1 - Balance'!J221</f>
        <v>4209.607</v>
      </c>
    </row>
    <row r="6" spans="1:10">
      <c r="A6" s="498" t="s">
        <v>213</v>
      </c>
      <c r="B6" s="83">
        <f>+'Anexo 1 - Balance'!B224</f>
        <v>9331.1319999999996</v>
      </c>
      <c r="C6" s="83">
        <f>+'Anexo 1 - Balance'!C224</f>
        <v>12306.288</v>
      </c>
      <c r="D6" s="83">
        <f>+'Anexo 1 - Balance'!D224</f>
        <v>22940.538</v>
      </c>
      <c r="E6" s="83">
        <f>+'Anexo 1 - Balance'!E224</f>
        <v>13989.019</v>
      </c>
      <c r="F6" s="83">
        <f>+'Anexo 1 - Balance'!F224</f>
        <v>18180.749</v>
      </c>
      <c r="G6" s="83">
        <f>+'Anexo 1 - Balance'!G224</f>
        <v>17945.632000000001</v>
      </c>
      <c r="H6" s="83">
        <f>+'Anexo 1 - Balance'!H224</f>
        <v>15037.779</v>
      </c>
      <c r="I6" s="83">
        <f>+'Anexo 1 - Balance'!I224</f>
        <v>13841</v>
      </c>
      <c r="J6" s="83">
        <f>+'Anexo 1 - Balance'!J224</f>
        <v>15015.334999999999</v>
      </c>
    </row>
    <row r="7" spans="1:10">
      <c r="A7" s="837" t="str">
        <f>+[3]Balance!A227</f>
        <v xml:space="preserve">37 RESULTADOS DE EJERCICIOS ANTERIORES </v>
      </c>
      <c r="B7" s="84">
        <f>+'Anexo 1 - Balance'!B227</f>
        <v>0</v>
      </c>
      <c r="C7" s="84">
        <f>+'Anexo 1 - Balance'!C227</f>
        <v>0</v>
      </c>
      <c r="D7" s="84">
        <f>+'Anexo 1 - Balance'!D227</f>
        <v>0</v>
      </c>
      <c r="E7" s="84">
        <f>+'Anexo 1 - Balance'!E227</f>
        <v>0</v>
      </c>
      <c r="F7" s="84">
        <f>+'Anexo 1 - Balance'!F227</f>
        <v>0</v>
      </c>
      <c r="G7" s="84">
        <f>+'Anexo 1 - Balance'!G227</f>
        <v>0</v>
      </c>
      <c r="H7" s="84">
        <f>+'Anexo 1 - Balance'!H227</f>
        <v>0</v>
      </c>
      <c r="I7" s="84">
        <f>+'Anexo 1 - Balance'!I227</f>
        <v>0</v>
      </c>
      <c r="J7" s="84">
        <f>+'Anexo 1 - Balance'!J227</f>
        <v>0</v>
      </c>
    </row>
    <row r="9" spans="1:10">
      <c r="A9" s="838" t="s">
        <v>942</v>
      </c>
      <c r="B9" s="272"/>
      <c r="C9" s="274">
        <f>+(B5+B6+B7)-(C5+C7)</f>
        <v>13753.022000000001</v>
      </c>
      <c r="D9" s="274">
        <f t="shared" ref="D9:J9" si="0">+(C5+C6+C7)-(D5+D7)</f>
        <v>7002.3790000000045</v>
      </c>
      <c r="E9" s="274">
        <f t="shared" si="0"/>
        <v>11055.378000000004</v>
      </c>
      <c r="F9" s="274">
        <f t="shared" si="0"/>
        <v>28107.854000000003</v>
      </c>
      <c r="G9" s="274">
        <f t="shared" si="0"/>
        <v>11886.921999999999</v>
      </c>
      <c r="H9" s="274">
        <f t="shared" si="0"/>
        <v>49836.773000000001</v>
      </c>
      <c r="I9" s="274">
        <f t="shared" si="0"/>
        <v>15037.385999999999</v>
      </c>
      <c r="J9" s="274">
        <f t="shared" si="0"/>
        <v>13841.393</v>
      </c>
    </row>
    <row r="10" spans="1:10">
      <c r="D10" s="62"/>
      <c r="E10" s="62"/>
      <c r="F10" s="62"/>
      <c r="G10" s="62"/>
      <c r="H10" s="62"/>
      <c r="I10" s="62"/>
      <c r="J10" s="62"/>
    </row>
    <row r="11" spans="1:10">
      <c r="A11" s="64" t="s">
        <v>943</v>
      </c>
    </row>
    <row r="12" spans="1:10">
      <c r="A12" s="64" t="s">
        <v>944</v>
      </c>
    </row>
    <row r="13" spans="1:10">
      <c r="A13" s="64" t="s">
        <v>945</v>
      </c>
    </row>
    <row r="14" spans="1:10">
      <c r="A14" s="64" t="s">
        <v>946</v>
      </c>
    </row>
    <row r="15" spans="1:10">
      <c r="A15" s="64" t="s">
        <v>947</v>
      </c>
    </row>
    <row r="16" spans="1:10">
      <c r="A16" s="64" t="s">
        <v>948</v>
      </c>
    </row>
  </sheetData>
  <pageMargins left="0.7" right="0.7" top="0.75" bottom="0.75" header="0.3" footer="0.3"/>
  <pageSetup orientation="portrait" verticalDpi="2"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7"/>
  <sheetViews>
    <sheetView showGridLines="0" workbookViewId="0">
      <selection activeCell="B28" activeCellId="1" sqref="A7 B28"/>
    </sheetView>
  </sheetViews>
  <sheetFormatPr baseColWidth="10" defaultRowHeight="15"/>
  <cols>
    <col min="1" max="1" width="61.42578125" style="64" customWidth="1"/>
    <col min="2" max="2" width="11.42578125" style="64"/>
    <col min="3" max="11" width="13.28515625" style="64" bestFit="1" customWidth="1"/>
    <col min="12" max="12" width="12.42578125" style="64" bestFit="1" customWidth="1"/>
    <col min="13" max="16384" width="11.42578125" style="64"/>
  </cols>
  <sheetData>
    <row r="1" spans="1:37" ht="30" customHeight="1" thickBot="1">
      <c r="A1" s="186" t="s">
        <v>9</v>
      </c>
      <c r="B1" s="839"/>
      <c r="C1" s="13"/>
      <c r="D1" s="13"/>
      <c r="E1" s="13"/>
      <c r="F1" s="13"/>
      <c r="G1" s="13"/>
      <c r="H1" s="13"/>
      <c r="I1" s="13"/>
      <c r="J1" s="13"/>
      <c r="K1" s="13"/>
      <c r="L1" s="793"/>
      <c r="M1" s="21"/>
      <c r="N1" s="21"/>
      <c r="O1" s="21"/>
      <c r="P1" s="21"/>
      <c r="Q1" s="21"/>
      <c r="R1" s="21"/>
      <c r="S1" s="21"/>
      <c r="T1" s="21"/>
      <c r="U1" s="21"/>
      <c r="AJ1" s="102">
        <v>0.84</v>
      </c>
      <c r="AK1" s="78" t="s">
        <v>308</v>
      </c>
    </row>
    <row r="2" spans="1:37">
      <c r="A2" s="1568" t="s">
        <v>9</v>
      </c>
      <c r="B2" s="840" t="s">
        <v>59</v>
      </c>
      <c r="C2" s="236">
        <f>+C30</f>
        <v>0</v>
      </c>
      <c r="D2" s="236">
        <f t="shared" ref="D2:K2" si="0">+D30</f>
        <v>0</v>
      </c>
      <c r="E2" s="236">
        <f t="shared" si="0"/>
        <v>0</v>
      </c>
      <c r="F2" s="236">
        <f t="shared" si="0"/>
        <v>0</v>
      </c>
      <c r="G2" s="236">
        <f t="shared" si="0"/>
        <v>0</v>
      </c>
      <c r="H2" s="236">
        <f t="shared" si="0"/>
        <v>0</v>
      </c>
      <c r="I2" s="236">
        <f t="shared" si="0"/>
        <v>0</v>
      </c>
      <c r="J2" s="236">
        <f t="shared" si="0"/>
        <v>0</v>
      </c>
      <c r="K2" s="236">
        <f t="shared" si="0"/>
        <v>0</v>
      </c>
      <c r="L2" s="227"/>
      <c r="M2" s="21"/>
      <c r="N2" s="21"/>
      <c r="O2" s="21"/>
      <c r="P2" s="21"/>
      <c r="Q2" s="21"/>
      <c r="R2" s="21"/>
      <c r="S2" s="21"/>
      <c r="T2" s="21"/>
      <c r="U2" s="21"/>
      <c r="AJ2" s="101">
        <v>0.85</v>
      </c>
      <c r="AK2" s="78" t="s">
        <v>308</v>
      </c>
    </row>
    <row r="3" spans="1:37" ht="15.75" thickBot="1">
      <c r="A3" s="1569"/>
      <c r="B3" s="841" t="s">
        <v>959</v>
      </c>
      <c r="C3" s="238">
        <f>+C17</f>
        <v>10.808506089172703</v>
      </c>
      <c r="D3" s="238">
        <f t="shared" ref="D3:K3" si="1">+D17</f>
        <v>10.039865982371598</v>
      </c>
      <c r="E3" s="238">
        <f t="shared" si="1"/>
        <v>10.542415685689743</v>
      </c>
      <c r="F3" s="238">
        <f t="shared" si="1"/>
        <v>7.9318741090887981</v>
      </c>
      <c r="G3" s="238">
        <f t="shared" si="1"/>
        <v>4.9935132386193901</v>
      </c>
      <c r="H3" s="238">
        <f t="shared" si="1"/>
        <v>4.9649164297681985</v>
      </c>
      <c r="I3" s="238">
        <f t="shared" si="1"/>
        <v>7.2078656614042451</v>
      </c>
      <c r="J3" s="238">
        <f t="shared" si="1"/>
        <v>4.4073232185853666</v>
      </c>
      <c r="K3" s="238">
        <f t="shared" si="1"/>
        <v>3.1344066195545977</v>
      </c>
      <c r="L3" s="227">
        <f>+AVERAGE(C3:I3)</f>
        <v>8.069851028016382</v>
      </c>
      <c r="M3" s="21"/>
      <c r="N3" s="21"/>
      <c r="O3" s="21"/>
      <c r="P3" s="21"/>
      <c r="Q3" s="21"/>
      <c r="R3" s="21"/>
      <c r="S3" s="21"/>
      <c r="T3" s="21"/>
      <c r="U3" s="21"/>
      <c r="AJ3" s="102">
        <v>0.86</v>
      </c>
      <c r="AK3" s="78" t="s">
        <v>308</v>
      </c>
    </row>
    <row r="4" spans="1:37">
      <c r="A4" s="187"/>
      <c r="B4" s="3"/>
      <c r="C4" s="3"/>
      <c r="D4" s="3"/>
      <c r="E4" s="3"/>
      <c r="F4" s="3"/>
      <c r="G4" s="3"/>
      <c r="H4" s="3"/>
      <c r="I4" s="3"/>
      <c r="J4" s="3"/>
      <c r="K4" s="3"/>
      <c r="L4" s="793"/>
      <c r="M4" s="21"/>
      <c r="N4" s="21"/>
      <c r="O4" s="21"/>
      <c r="P4" s="21"/>
      <c r="Q4" s="21"/>
      <c r="R4" s="21"/>
      <c r="S4" s="21"/>
      <c r="T4" s="21"/>
      <c r="U4" s="21"/>
      <c r="AJ4" s="101">
        <v>0.87</v>
      </c>
      <c r="AK4" s="78" t="s">
        <v>308</v>
      </c>
    </row>
    <row r="5" spans="1:37" ht="33" customHeight="1" thickBot="1">
      <c r="A5" s="1571" t="s">
        <v>949</v>
      </c>
      <c r="B5" s="1574"/>
      <c r="C5" s="1574"/>
      <c r="D5" s="1574"/>
      <c r="E5" s="1574"/>
      <c r="F5" s="1574"/>
      <c r="G5" s="1574"/>
      <c r="H5" s="1574"/>
      <c r="I5" s="1574"/>
      <c r="J5" s="1574"/>
      <c r="K5" s="1574"/>
      <c r="L5" s="1615"/>
      <c r="M5" s="21"/>
      <c r="N5" s="21"/>
      <c r="O5" s="21"/>
      <c r="P5" s="21"/>
      <c r="Q5" s="21"/>
      <c r="R5" s="21"/>
      <c r="S5" s="21"/>
      <c r="T5" s="21"/>
      <c r="U5" s="21"/>
      <c r="AJ5" s="102">
        <v>0.88</v>
      </c>
      <c r="AK5" s="78" t="s">
        <v>308</v>
      </c>
    </row>
    <row r="6" spans="1:37" s="21" customFormat="1" ht="22.5" customHeight="1" thickTop="1" thickBot="1">
      <c r="A6" s="104"/>
      <c r="L6" s="97"/>
      <c r="AJ6" s="101">
        <v>0.89</v>
      </c>
      <c r="AK6" s="78" t="s">
        <v>308</v>
      </c>
    </row>
    <row r="7" spans="1:37" s="21" customFormat="1" ht="22.5" customHeight="1" thickTop="1">
      <c r="A7" s="842"/>
      <c r="B7" s="794"/>
      <c r="C7" s="794"/>
      <c r="D7" s="794"/>
      <c r="E7" s="794"/>
      <c r="F7" s="794"/>
      <c r="G7" s="794"/>
      <c r="H7" s="794"/>
      <c r="I7" s="794"/>
      <c r="J7" s="794"/>
      <c r="K7" s="794"/>
      <c r="L7" s="843"/>
      <c r="AJ7" s="101"/>
      <c r="AK7" s="78"/>
    </row>
    <row r="8" spans="1:37" s="21" customFormat="1">
      <c r="A8" s="186" t="s">
        <v>960</v>
      </c>
      <c r="B8" s="3"/>
      <c r="C8" s="3"/>
      <c r="D8" s="3"/>
      <c r="E8" s="3"/>
      <c r="F8" s="3"/>
      <c r="G8" s="3"/>
      <c r="H8" s="3"/>
      <c r="I8" s="3"/>
      <c r="J8" s="3"/>
      <c r="K8" s="3"/>
      <c r="L8" s="121"/>
      <c r="AJ8" s="102">
        <v>0.9</v>
      </c>
      <c r="AK8" s="78" t="s">
        <v>308</v>
      </c>
    </row>
    <row r="9" spans="1:37" s="21" customFormat="1" ht="15.75" thickBot="1">
      <c r="A9" s="844"/>
      <c r="B9" s="3"/>
      <c r="C9" s="3"/>
      <c r="D9" s="3"/>
      <c r="E9" s="3"/>
      <c r="F9" s="3"/>
      <c r="G9" s="3"/>
      <c r="H9" s="3"/>
      <c r="I9" s="3"/>
      <c r="J9" s="3"/>
      <c r="K9" s="3"/>
      <c r="L9" s="121"/>
      <c r="AJ9" s="101">
        <v>0.91</v>
      </c>
      <c r="AK9" s="78" t="s">
        <v>308</v>
      </c>
    </row>
    <row r="10" spans="1:37">
      <c r="A10" s="845" t="s">
        <v>950</v>
      </c>
      <c r="B10" s="846" t="s">
        <v>951</v>
      </c>
      <c r="C10" s="847">
        <v>2006</v>
      </c>
      <c r="D10" s="847">
        <f>+C10+1</f>
        <v>2007</v>
      </c>
      <c r="E10" s="847">
        <f t="shared" ref="E10:K10" si="2">+D10+1</f>
        <v>2008</v>
      </c>
      <c r="F10" s="847">
        <f t="shared" si="2"/>
        <v>2009</v>
      </c>
      <c r="G10" s="847">
        <f t="shared" si="2"/>
        <v>2010</v>
      </c>
      <c r="H10" s="847">
        <f t="shared" si="2"/>
        <v>2011</v>
      </c>
      <c r="I10" s="847">
        <f t="shared" si="2"/>
        <v>2012</v>
      </c>
      <c r="J10" s="847">
        <f t="shared" si="2"/>
        <v>2013</v>
      </c>
      <c r="K10" s="847">
        <f t="shared" si="2"/>
        <v>2014</v>
      </c>
      <c r="L10" s="848" t="s">
        <v>372</v>
      </c>
      <c r="N10" s="21"/>
      <c r="O10" s="21"/>
      <c r="P10" s="21"/>
      <c r="Q10" s="21"/>
      <c r="R10" s="21"/>
      <c r="S10" s="21"/>
      <c r="T10" s="21"/>
      <c r="U10" s="21"/>
      <c r="AJ10" s="102">
        <v>0.92</v>
      </c>
      <c r="AK10" s="78" t="s">
        <v>308</v>
      </c>
    </row>
    <row r="11" spans="1:37" ht="15.75" customHeight="1">
      <c r="A11" s="849" t="s">
        <v>952</v>
      </c>
      <c r="B11" s="850">
        <v>6.56</v>
      </c>
      <c r="C11" s="177">
        <f>+('Anexo 1 - Balance'!B56-'Anexo 1 - Balance'!B157)/'Anexo 1 - Balance'!B106</f>
        <v>0.6574849365005333</v>
      </c>
      <c r="D11" s="177">
        <f>+('Anexo 1 - Balance'!C56-'Anexo 1 - Balance'!C157)/'Anexo 1 - Balance'!C106</f>
        <v>0.62824676732753226</v>
      </c>
      <c r="E11" s="177">
        <f>+('Anexo 1 - Balance'!D56-'Anexo 1 - Balance'!D157)/'Anexo 1 - Balance'!D106</f>
        <v>0.6827149399992215</v>
      </c>
      <c r="F11" s="177">
        <f>+('Anexo 1 - Balance'!E56-'Anexo 1 - Balance'!E157)/'Anexo 1 - Balance'!E106</f>
        <v>0.20236479001802149</v>
      </c>
      <c r="G11" s="177">
        <f>+('Anexo 1 - Balance'!F56-'Anexo 1 - Balance'!F157)/'Anexo 1 - Balance'!F106</f>
        <v>9.3805525998758799E-2</v>
      </c>
      <c r="H11" s="177">
        <f>+('Anexo 1 - Balance'!G56-'Anexo 1 - Balance'!G157)/'Anexo 1 - Balance'!G106</f>
        <v>9.4255344007795464E-2</v>
      </c>
      <c r="I11" s="177">
        <f>+('Anexo 1 - Balance'!H56-'Anexo 1 - Balance'!H157)/'Anexo 1 - Balance'!H106</f>
        <v>0.46183394376906522</v>
      </c>
      <c r="J11" s="177">
        <f>+('Anexo 1 - Balance'!I56-'Anexo 1 - Balance'!I157)/'Anexo 1 - Balance'!I106</f>
        <v>0.28686283968483678</v>
      </c>
      <c r="K11" s="177">
        <f>+('Anexo 1 - Balance'!J56-'Anexo 1 - Balance'!J157)/'Anexo 1 - Balance'!J106</f>
        <v>0.24346786162731471</v>
      </c>
      <c r="L11" s="851">
        <f>+AVERAGE(C11:K11)</f>
        <v>0.3723374387703422</v>
      </c>
      <c r="N11" s="106"/>
      <c r="O11" s="106"/>
      <c r="P11" s="106"/>
      <c r="Q11" s="21"/>
      <c r="R11" s="21"/>
      <c r="S11" s="21"/>
      <c r="T11" s="21"/>
      <c r="U11" s="21"/>
      <c r="AJ11" s="101">
        <v>0.93</v>
      </c>
      <c r="AK11" s="78" t="s">
        <v>308</v>
      </c>
    </row>
    <row r="12" spans="1:37" ht="15.75" customHeight="1">
      <c r="A12" s="849" t="s">
        <v>94</v>
      </c>
      <c r="B12" s="850">
        <v>3.26</v>
      </c>
      <c r="C12" s="177">
        <f>+('Anexo 1 - Balance'!B227+'Anexo 1 - Balance'!B221)/'Anexo 1 - Balance'!B106</f>
        <v>0.4210350189033899</v>
      </c>
      <c r="D12" s="177">
        <f>+('Anexo 1 - Balance'!C227+'Anexo 1 - Balance'!C221)/'Anexo 1 - Balance'!C106</f>
        <v>0.35514181351742924</v>
      </c>
      <c r="E12" s="177">
        <f>+('Anexo 1 - Balance'!D227+'Anexo 1 - Balance'!D221)/'Anexo 1 - Balance'!D106</f>
        <v>0.33532919216461615</v>
      </c>
      <c r="F12" s="177">
        <f>+('Anexo 1 - Balance'!E227+'Anexo 1 - Balance'!E221)/'Anexo 1 - Balance'!E106</f>
        <v>0.45214906690030682</v>
      </c>
      <c r="G12" s="177">
        <f>+('Anexo 1 - Balance'!F227+'Anexo 1 - Balance'!F221)/'Anexo 1 - Balance'!F106</f>
        <v>0.29272518679018777</v>
      </c>
      <c r="H12" s="177">
        <f>+('Anexo 1 - Balance'!G227+'Anexo 1 - Balance'!G221)/'Anexo 1 - Balance'!G106</f>
        <v>0.33919501857805912</v>
      </c>
      <c r="I12" s="177">
        <f>+('Anexo 1 - Balance'!H227+'Anexo 1 - Balance'!H221)/'Anexo 1 - Balance'!H106</f>
        <v>7.4609690640584703E-2</v>
      </c>
      <c r="J12" s="177">
        <f>+('Anexo 1 - Balance'!I227+'Anexo 1 - Balance'!I221)/'Anexo 1 - Balance'!I106</f>
        <v>5.6413142520233696E-2</v>
      </c>
      <c r="K12" s="177">
        <f>+('Anexo 1 - Balance'!J227+'Anexo 1 - Balance'!J221)/'Anexo 1 - Balance'!J106</f>
        <v>4.3475419414045556E-2</v>
      </c>
      <c r="L12" s="851">
        <f>+AVERAGE(C12:K12)</f>
        <v>0.26334150549209484</v>
      </c>
      <c r="N12" s="106"/>
      <c r="O12" s="106"/>
      <c r="P12" s="106"/>
      <c r="Q12" s="21"/>
      <c r="R12" s="21"/>
      <c r="S12" s="21"/>
      <c r="T12" s="21"/>
      <c r="U12" s="21"/>
      <c r="AJ12" s="102">
        <v>0.94</v>
      </c>
      <c r="AK12" s="78" t="s">
        <v>308</v>
      </c>
    </row>
    <row r="13" spans="1:37" ht="15.75">
      <c r="A13" s="852" t="s">
        <v>953</v>
      </c>
      <c r="B13" s="850">
        <v>6.72</v>
      </c>
      <c r="C13" s="177">
        <f>+'Anexo 2 - ER'!B14/'Anexo 1 - Balance'!B106</f>
        <v>0.14380133557974875</v>
      </c>
      <c r="D13" s="177">
        <f>+'Anexo 2 - ER'!C14/'Anexo 1 - Balance'!C106</f>
        <v>0.19579403138256668</v>
      </c>
      <c r="E13" s="177">
        <f>+'Anexo 2 - ER'!D14/'Anexo 1 - Balance'!D106</f>
        <v>0.21669103078182045</v>
      </c>
      <c r="F13" s="177">
        <f>+'Anexo 2 - ER'!E14/'Anexo 1 - Balance'!E106</f>
        <v>0.20860594553489098</v>
      </c>
      <c r="G13" s="177">
        <f>+'Anexo 2 - ER'!F14/'Anexo 1 - Balance'!F106</f>
        <v>0.23250739934180212</v>
      </c>
      <c r="H13" s="177">
        <f>+'Anexo 2 - ER'!G14/'Anexo 1 - Balance'!G106</f>
        <v>0.18348158244445642</v>
      </c>
      <c r="I13" s="177">
        <f>+'Anexo 2 - ER'!H14/'Anexo 1 - Balance'!H106</f>
        <v>0.39150719601435752</v>
      </c>
      <c r="J13" s="177">
        <f>+'Anexo 2 - ER'!I14/'Anexo 1 - Balance'!I106</f>
        <v>0.24307096532132724</v>
      </c>
      <c r="K13" s="177">
        <f>+'Anexo 2 - ER'!J14/'Anexo 1 - Balance'!J106</f>
        <v>0.13326780222050832</v>
      </c>
      <c r="L13" s="851">
        <f>+AVERAGE(C13:K13)</f>
        <v>0.21652525429127537</v>
      </c>
      <c r="N13" s="106"/>
      <c r="O13" s="106"/>
      <c r="P13" s="106"/>
      <c r="Q13" s="21"/>
      <c r="R13" s="21"/>
      <c r="S13" s="21"/>
      <c r="T13" s="21"/>
      <c r="U13" s="21"/>
      <c r="AJ13" s="101">
        <v>0.95</v>
      </c>
      <c r="AK13" s="78" t="s">
        <v>308</v>
      </c>
    </row>
    <row r="14" spans="1:37" ht="15" customHeight="1">
      <c r="A14" s="849" t="s">
        <v>95</v>
      </c>
      <c r="B14" s="850">
        <v>1.05</v>
      </c>
      <c r="C14" s="177">
        <f>+'Anexo 1 - Balance'!B229/'Anexo 1 - Balance'!B206</f>
        <v>3.958557875245944</v>
      </c>
      <c r="D14" s="177">
        <f>+'Anexo 1 - Balance'!C229/'Anexo 1 - Balance'!C206</f>
        <v>3.2810180816622085</v>
      </c>
      <c r="E14" s="177">
        <f>+'Anexo 1 - Balance'!D229/'Anexo 1 - Balance'!D206</f>
        <v>3.3471131295089225</v>
      </c>
      <c r="F14" s="177">
        <f>+'Anexo 1 - Balance'!E229/'Anexo 1 - Balance'!E206</f>
        <v>3.5509744518867707</v>
      </c>
      <c r="G14" s="177">
        <f>+'Anexo 1 - Balance'!F229/'Anexo 1 - Balance'!F206</f>
        <v>1.7727763386234383</v>
      </c>
      <c r="H14" s="177">
        <f>+'Anexo 1 - Balance'!G229/'Anexo 1 - Balance'!G206</f>
        <v>1.9122184557008</v>
      </c>
      <c r="I14" s="177">
        <f>+'Anexo 1 - Balance'!H229/'Anexo 1 - Balance'!H206</f>
        <v>1.2419800395946565</v>
      </c>
      <c r="J14" s="177">
        <f>+'Anexo 1 - Balance'!I229/'Anexo 1 - Balance'!I206</f>
        <v>0.67443738921672014</v>
      </c>
      <c r="K14" s="177">
        <f>+'Anexo 1 - Balance'!J229/'Anexo 1 - Balance'!J206</f>
        <v>0.47615995149315105</v>
      </c>
      <c r="L14" s="851">
        <f>+AVERAGE(C14:K14)</f>
        <v>2.2461373014369577</v>
      </c>
      <c r="N14" s="106"/>
      <c r="O14" s="106"/>
      <c r="P14" s="106"/>
      <c r="Q14" s="21"/>
      <c r="R14" s="21"/>
      <c r="S14" s="21"/>
      <c r="T14" s="21"/>
      <c r="U14" s="21"/>
      <c r="AJ14" s="102">
        <v>0.96</v>
      </c>
      <c r="AK14" s="78" t="s">
        <v>308</v>
      </c>
    </row>
    <row r="15" spans="1:37" ht="15" customHeight="1" thickBot="1">
      <c r="A15" s="853" t="s">
        <v>954</v>
      </c>
      <c r="B15" s="854"/>
      <c r="C15" s="179"/>
      <c r="D15" s="179"/>
      <c r="E15" s="179"/>
      <c r="F15" s="179"/>
      <c r="G15" s="179"/>
      <c r="H15" s="179"/>
      <c r="I15" s="179"/>
      <c r="J15" s="179"/>
      <c r="K15" s="179"/>
      <c r="L15" s="851"/>
      <c r="N15" s="106"/>
      <c r="O15" s="106"/>
      <c r="P15" s="106"/>
      <c r="Q15" s="21"/>
      <c r="R15" s="21"/>
      <c r="S15" s="21"/>
      <c r="T15" s="21"/>
      <c r="U15" s="21"/>
      <c r="AJ15" s="101">
        <v>0.97</v>
      </c>
      <c r="AK15" s="78" t="s">
        <v>308</v>
      </c>
    </row>
    <row r="16" spans="1:37" s="21" customFormat="1" ht="15.75" thickBot="1">
      <c r="A16" s="844"/>
      <c r="B16" s="3"/>
      <c r="C16" s="3"/>
      <c r="D16" s="3"/>
      <c r="E16" s="3"/>
      <c r="F16" s="3"/>
      <c r="G16" s="3"/>
      <c r="H16" s="855"/>
      <c r="I16" s="855"/>
      <c r="J16" s="855"/>
      <c r="K16" s="855"/>
      <c r="L16" s="855"/>
      <c r="AJ16" s="102">
        <v>0.98</v>
      </c>
      <c r="AK16" s="78" t="s">
        <v>308</v>
      </c>
    </row>
    <row r="17" spans="1:37" ht="15.75">
      <c r="A17" s="845" t="s">
        <v>96</v>
      </c>
      <c r="B17" s="856"/>
      <c r="C17" s="180">
        <f t="shared" ref="C17:K17" si="3">+SUMPRODUCT($B$11:$B$15,C11:C15)</f>
        <v>10.808506089172703</v>
      </c>
      <c r="D17" s="180">
        <f t="shared" si="3"/>
        <v>10.039865982371598</v>
      </c>
      <c r="E17" s="180">
        <f t="shared" si="3"/>
        <v>10.542415685689743</v>
      </c>
      <c r="F17" s="180">
        <f t="shared" si="3"/>
        <v>7.9318741090887981</v>
      </c>
      <c r="G17" s="180">
        <f t="shared" si="3"/>
        <v>4.9935132386193901</v>
      </c>
      <c r="H17" s="180">
        <f t="shared" si="3"/>
        <v>4.9649164297681985</v>
      </c>
      <c r="I17" s="180">
        <f t="shared" si="3"/>
        <v>7.2078656614042451</v>
      </c>
      <c r="J17" s="180">
        <f t="shared" si="3"/>
        <v>4.4073232185853666</v>
      </c>
      <c r="K17" s="180">
        <f t="shared" si="3"/>
        <v>3.1344066195545977</v>
      </c>
      <c r="L17" s="851">
        <f>+AVERAGE(C17:K17)</f>
        <v>7.1145207815838489</v>
      </c>
      <c r="N17" s="107"/>
      <c r="O17" s="108"/>
      <c r="P17" s="107"/>
      <c r="Q17" s="21"/>
      <c r="R17" s="21"/>
      <c r="S17" s="21"/>
      <c r="T17" s="21"/>
      <c r="U17" s="21"/>
      <c r="AJ17" s="101">
        <v>0.99</v>
      </c>
      <c r="AK17" s="78" t="s">
        <v>308</v>
      </c>
    </row>
    <row r="18" spans="1:37" ht="15.75" thickBot="1">
      <c r="A18" s="853" t="s">
        <v>97</v>
      </c>
      <c r="B18" s="857"/>
      <c r="C18" s="858" t="str">
        <f>+IF(C17&gt;=3,$B$33,IF(C17&lt;=1.88,$B$34,$B$35))</f>
        <v>Situación normal</v>
      </c>
      <c r="D18" s="858" t="str">
        <f t="shared" ref="D18:L18" si="4">+IF(D17&gt;=3,$B$33,IF(D17&lt;=1.88,$B$34,$B$35))</f>
        <v>Situación normal</v>
      </c>
      <c r="E18" s="858" t="str">
        <f t="shared" si="4"/>
        <v>Situación normal</v>
      </c>
      <c r="F18" s="858" t="str">
        <f t="shared" si="4"/>
        <v>Situación normal</v>
      </c>
      <c r="G18" s="858" t="str">
        <f t="shared" si="4"/>
        <v>Situación normal</v>
      </c>
      <c r="H18" s="858" t="str">
        <f t="shared" si="4"/>
        <v>Situación normal</v>
      </c>
      <c r="I18" s="858" t="str">
        <f t="shared" si="4"/>
        <v>Situación normal</v>
      </c>
      <c r="J18" s="858" t="str">
        <f t="shared" si="4"/>
        <v>Situación normal</v>
      </c>
      <c r="K18" s="858" t="str">
        <f t="shared" si="4"/>
        <v>Situación normal</v>
      </c>
      <c r="L18" s="858" t="str">
        <f t="shared" si="4"/>
        <v>Situación normal</v>
      </c>
      <c r="N18" s="109"/>
      <c r="O18" s="109"/>
      <c r="P18" s="109"/>
      <c r="Q18" s="21"/>
      <c r="R18" s="21"/>
      <c r="S18" s="21"/>
      <c r="T18" s="21"/>
      <c r="U18" s="21"/>
      <c r="AJ18" s="102">
        <v>1</v>
      </c>
      <c r="AK18" s="78" t="s">
        <v>308</v>
      </c>
    </row>
    <row r="19" spans="1:37" ht="15.75" thickBot="1">
      <c r="A19" s="859"/>
      <c r="B19" s="126"/>
      <c r="C19" s="860"/>
      <c r="D19" s="860"/>
      <c r="E19" s="860"/>
      <c r="F19" s="860"/>
      <c r="G19" s="860"/>
      <c r="H19" s="860"/>
      <c r="I19" s="860"/>
      <c r="J19" s="860"/>
      <c r="K19" s="860"/>
      <c r="L19" s="860"/>
      <c r="N19" s="109"/>
      <c r="O19" s="109"/>
      <c r="P19" s="109"/>
      <c r="Q19" s="21"/>
      <c r="R19" s="21"/>
      <c r="S19" s="21"/>
      <c r="T19" s="21"/>
      <c r="U19" s="21"/>
      <c r="AJ19" s="102"/>
      <c r="AK19" s="78"/>
    </row>
    <row r="20" spans="1:37" s="21" customFormat="1" ht="23.25" customHeight="1" thickTop="1">
      <c r="A20" s="1616" t="s">
        <v>955</v>
      </c>
      <c r="B20" s="1567"/>
      <c r="C20" s="1567"/>
      <c r="D20" s="1567"/>
      <c r="E20" s="1567"/>
      <c r="F20" s="1567"/>
      <c r="G20" s="1567"/>
      <c r="H20" s="1567"/>
      <c r="I20" s="1567"/>
      <c r="J20" s="1567"/>
      <c r="K20" s="1567"/>
      <c r="L20" s="1617"/>
      <c r="AJ20" s="101">
        <v>1.01</v>
      </c>
      <c r="AK20" s="78" t="s">
        <v>308</v>
      </c>
    </row>
    <row r="21" spans="1:37" s="21" customFormat="1">
      <c r="A21" s="186" t="s">
        <v>963</v>
      </c>
      <c r="B21" s="3"/>
      <c r="C21" s="3"/>
      <c r="D21" s="3"/>
      <c r="E21" s="3"/>
      <c r="F21" s="3"/>
      <c r="G21" s="3"/>
      <c r="H21" s="3"/>
      <c r="I21" s="3"/>
      <c r="J21" s="3"/>
      <c r="K21" s="3"/>
      <c r="L21" s="121"/>
      <c r="AJ21" s="102">
        <v>1.02</v>
      </c>
      <c r="AK21" s="78" t="s">
        <v>308</v>
      </c>
    </row>
    <row r="22" spans="1:37" s="21" customFormat="1" ht="15.75" thickBot="1">
      <c r="A22" s="844"/>
      <c r="B22" s="3"/>
      <c r="C22" s="3"/>
      <c r="D22" s="3"/>
      <c r="E22" s="3"/>
      <c r="F22" s="3"/>
      <c r="G22" s="3"/>
      <c r="H22" s="3"/>
      <c r="I22" s="3"/>
      <c r="J22" s="3"/>
      <c r="K22" s="3"/>
      <c r="L22" s="121"/>
      <c r="AJ22" s="101">
        <v>1.03</v>
      </c>
      <c r="AK22" s="78" t="s">
        <v>308</v>
      </c>
    </row>
    <row r="23" spans="1:37">
      <c r="A23" s="845" t="s">
        <v>956</v>
      </c>
      <c r="B23" s="846" t="s">
        <v>951</v>
      </c>
      <c r="C23" s="847">
        <f>+C10</f>
        <v>2006</v>
      </c>
      <c r="D23" s="847">
        <f t="shared" ref="D23:K23" si="5">+D10</f>
        <v>2007</v>
      </c>
      <c r="E23" s="847">
        <f t="shared" si="5"/>
        <v>2008</v>
      </c>
      <c r="F23" s="847">
        <f t="shared" si="5"/>
        <v>2009</v>
      </c>
      <c r="G23" s="847">
        <f t="shared" si="5"/>
        <v>2010</v>
      </c>
      <c r="H23" s="847">
        <f t="shared" si="5"/>
        <v>2011</v>
      </c>
      <c r="I23" s="847">
        <f t="shared" si="5"/>
        <v>2012</v>
      </c>
      <c r="J23" s="847">
        <f t="shared" si="5"/>
        <v>2013</v>
      </c>
      <c r="K23" s="847">
        <f t="shared" si="5"/>
        <v>2014</v>
      </c>
      <c r="L23" s="848" t="s">
        <v>372</v>
      </c>
      <c r="M23" s="21"/>
      <c r="N23" s="21"/>
      <c r="O23" s="21"/>
      <c r="P23" s="21"/>
      <c r="Q23" s="21"/>
      <c r="R23" s="21"/>
      <c r="S23" s="21"/>
      <c r="T23" s="21"/>
      <c r="U23" s="21"/>
      <c r="AJ23" s="102">
        <v>1.04</v>
      </c>
      <c r="AK23" s="78" t="s">
        <v>308</v>
      </c>
    </row>
    <row r="24" spans="1:37" ht="15.75">
      <c r="A24" s="849" t="s">
        <v>491</v>
      </c>
      <c r="B24" s="850">
        <v>6.56</v>
      </c>
      <c r="C24" s="850"/>
      <c r="D24" s="850"/>
      <c r="E24" s="850"/>
      <c r="F24" s="850"/>
      <c r="G24" s="850"/>
      <c r="H24" s="850"/>
      <c r="I24" s="850"/>
      <c r="J24" s="850"/>
      <c r="K24" s="850"/>
      <c r="L24" s="850"/>
      <c r="M24" s="21"/>
      <c r="N24" s="21"/>
      <c r="O24" s="21"/>
      <c r="P24" s="21"/>
      <c r="Q24" s="21"/>
      <c r="R24" s="21"/>
      <c r="S24" s="21"/>
      <c r="T24" s="21"/>
      <c r="U24" s="21"/>
      <c r="AJ24" s="101">
        <v>1.05</v>
      </c>
      <c r="AK24" s="78" t="s">
        <v>308</v>
      </c>
    </row>
    <row r="25" spans="1:37" ht="15.75">
      <c r="A25" s="849" t="s">
        <v>94</v>
      </c>
      <c r="B25" s="850">
        <v>3.26</v>
      </c>
      <c r="C25" s="850"/>
      <c r="D25" s="850"/>
      <c r="E25" s="850"/>
      <c r="F25" s="850"/>
      <c r="G25" s="850"/>
      <c r="H25" s="850"/>
      <c r="I25" s="850"/>
      <c r="J25" s="850"/>
      <c r="K25" s="850"/>
      <c r="L25" s="850"/>
      <c r="M25" s="21"/>
      <c r="N25" s="21"/>
      <c r="O25" s="21"/>
      <c r="P25" s="21"/>
      <c r="Q25" s="21"/>
      <c r="R25" s="21"/>
      <c r="S25" s="21"/>
      <c r="T25" s="21"/>
      <c r="U25" s="21"/>
      <c r="AJ25" s="102">
        <v>1.06</v>
      </c>
      <c r="AK25" s="78" t="s">
        <v>308</v>
      </c>
    </row>
    <row r="26" spans="1:37" ht="15.75">
      <c r="A26" s="852" t="s">
        <v>953</v>
      </c>
      <c r="B26" s="850">
        <v>6.72</v>
      </c>
      <c r="C26" s="850"/>
      <c r="D26" s="850"/>
      <c r="E26" s="850"/>
      <c r="F26" s="850"/>
      <c r="G26" s="850"/>
      <c r="H26" s="850"/>
      <c r="I26" s="850"/>
      <c r="J26" s="850"/>
      <c r="K26" s="850"/>
      <c r="L26" s="850"/>
      <c r="M26" s="21"/>
      <c r="N26" s="21"/>
      <c r="O26" s="21"/>
      <c r="P26" s="21"/>
      <c r="Q26" s="21"/>
      <c r="R26" s="21"/>
      <c r="S26" s="21"/>
      <c r="T26" s="21"/>
      <c r="U26" s="21"/>
      <c r="AJ26" s="101">
        <v>1.07</v>
      </c>
      <c r="AK26" s="78" t="s">
        <v>308</v>
      </c>
    </row>
    <row r="27" spans="1:37" ht="15.75">
      <c r="A27" s="849" t="s">
        <v>95</v>
      </c>
      <c r="B27" s="850">
        <v>1.05</v>
      </c>
      <c r="C27" s="850"/>
      <c r="D27" s="850"/>
      <c r="E27" s="850"/>
      <c r="F27" s="850"/>
      <c r="G27" s="850"/>
      <c r="H27" s="850"/>
      <c r="I27" s="850"/>
      <c r="J27" s="850"/>
      <c r="K27" s="850"/>
      <c r="L27" s="850"/>
      <c r="M27" s="21"/>
      <c r="N27" s="21"/>
      <c r="O27" s="21"/>
      <c r="P27" s="21"/>
      <c r="Q27" s="21"/>
      <c r="R27" s="21"/>
      <c r="S27" s="21"/>
      <c r="T27" s="21"/>
      <c r="U27" s="21"/>
      <c r="AJ27" s="102">
        <v>1.08</v>
      </c>
      <c r="AK27" s="78" t="s">
        <v>308</v>
      </c>
    </row>
    <row r="28" spans="1:37" ht="16.5" thickBot="1">
      <c r="A28" s="853" t="s">
        <v>954</v>
      </c>
      <c r="B28" s="854"/>
      <c r="C28" s="179"/>
      <c r="D28" s="179"/>
      <c r="E28" s="179"/>
      <c r="F28" s="179"/>
      <c r="G28" s="179"/>
      <c r="H28" s="179"/>
      <c r="I28" s="179"/>
      <c r="J28" s="179"/>
      <c r="K28" s="179"/>
      <c r="L28" s="851"/>
      <c r="M28" s="21"/>
      <c r="N28" s="21"/>
      <c r="O28" s="21"/>
      <c r="P28" s="21"/>
      <c r="Q28" s="21"/>
      <c r="R28" s="21"/>
      <c r="S28" s="21"/>
      <c r="T28" s="21"/>
      <c r="U28" s="21"/>
      <c r="AJ28" s="101">
        <v>1.0900000000000001</v>
      </c>
      <c r="AK28" s="78" t="s">
        <v>308</v>
      </c>
    </row>
    <row r="29" spans="1:37" s="21" customFormat="1" ht="15.75" thickBot="1">
      <c r="A29" s="844"/>
      <c r="B29" s="3"/>
      <c r="C29" s="3"/>
      <c r="D29" s="3"/>
      <c r="E29" s="3"/>
      <c r="F29" s="3"/>
      <c r="G29" s="3"/>
      <c r="H29" s="3"/>
      <c r="I29" s="3"/>
      <c r="J29" s="3"/>
      <c r="K29" s="3"/>
      <c r="L29" s="855"/>
      <c r="AJ29" s="102">
        <v>1.1000000000000001</v>
      </c>
      <c r="AK29" s="78" t="s">
        <v>308</v>
      </c>
    </row>
    <row r="30" spans="1:37" ht="15.75">
      <c r="A30" s="845" t="s">
        <v>96</v>
      </c>
      <c r="B30" s="856"/>
      <c r="C30" s="180"/>
      <c r="D30" s="180"/>
      <c r="E30" s="180"/>
      <c r="F30" s="180"/>
      <c r="G30" s="180"/>
      <c r="H30" s="180"/>
      <c r="I30" s="180"/>
      <c r="J30" s="180"/>
      <c r="K30" s="180"/>
      <c r="L30" s="851"/>
      <c r="M30" s="21"/>
      <c r="N30" s="21"/>
      <c r="O30" s="21"/>
      <c r="P30" s="21"/>
      <c r="Q30" s="21"/>
      <c r="R30" s="21"/>
      <c r="S30" s="21"/>
      <c r="T30" s="21"/>
      <c r="U30" s="21"/>
      <c r="AJ30" s="101">
        <v>1.1100000000000001</v>
      </c>
      <c r="AK30" s="78" t="s">
        <v>308</v>
      </c>
    </row>
    <row r="31" spans="1:37" ht="15.75" thickBot="1">
      <c r="A31" s="853" t="s">
        <v>97</v>
      </c>
      <c r="B31" s="857"/>
      <c r="C31" s="858"/>
      <c r="D31" s="858"/>
      <c r="E31" s="858"/>
      <c r="F31" s="858"/>
      <c r="G31" s="858"/>
      <c r="H31" s="858"/>
      <c r="I31" s="858"/>
      <c r="J31" s="858"/>
      <c r="K31" s="858"/>
      <c r="L31" s="864"/>
      <c r="M31" s="21"/>
      <c r="N31" s="21"/>
      <c r="O31" s="21"/>
      <c r="P31" s="21"/>
      <c r="Q31" s="21"/>
      <c r="R31" s="21"/>
      <c r="S31" s="21"/>
      <c r="T31" s="105"/>
      <c r="U31" s="12"/>
      <c r="V31" s="18"/>
      <c r="W31" s="18"/>
      <c r="X31" s="18"/>
      <c r="Y31" s="18"/>
      <c r="AJ31" s="102">
        <v>1.1200000000000001</v>
      </c>
      <c r="AK31" s="78" t="s">
        <v>308</v>
      </c>
    </row>
    <row r="32" spans="1:37" s="21" customFormat="1" ht="15.75" thickBot="1">
      <c r="A32" s="861" t="s">
        <v>484</v>
      </c>
      <c r="B32" s="3"/>
      <c r="C32" s="3"/>
      <c r="D32" s="3"/>
      <c r="E32" s="3"/>
      <c r="F32" s="3"/>
      <c r="G32" s="3"/>
      <c r="H32" s="3"/>
      <c r="I32" s="3"/>
      <c r="J32" s="3"/>
      <c r="K32" s="3"/>
      <c r="L32" s="793"/>
      <c r="AJ32" s="101">
        <v>1.1299999999999999</v>
      </c>
      <c r="AK32" s="78" t="s">
        <v>308</v>
      </c>
    </row>
    <row r="33" spans="1:37" s="21" customFormat="1" ht="30">
      <c r="A33" s="862" t="s">
        <v>957</v>
      </c>
      <c r="B33" s="247" t="s">
        <v>961</v>
      </c>
      <c r="C33" s="3"/>
      <c r="D33" s="3"/>
      <c r="E33" s="3"/>
      <c r="F33" s="3"/>
      <c r="G33" s="3"/>
      <c r="H33" s="3"/>
      <c r="I33" s="3"/>
      <c r="J33" s="3"/>
      <c r="K33" s="3"/>
      <c r="L33" s="793"/>
      <c r="AJ33" s="102">
        <v>1.1399999999999999</v>
      </c>
      <c r="AK33" s="78" t="s">
        <v>308</v>
      </c>
    </row>
    <row r="34" spans="1:37" s="21" customFormat="1" ht="30">
      <c r="A34" s="631" t="s">
        <v>964</v>
      </c>
      <c r="B34" s="248" t="s">
        <v>962</v>
      </c>
      <c r="C34" s="3"/>
      <c r="D34" s="3"/>
      <c r="E34" s="3"/>
      <c r="F34" s="3"/>
      <c r="G34" s="3"/>
      <c r="H34" s="3"/>
      <c r="I34" s="3"/>
      <c r="J34" s="3"/>
      <c r="K34" s="3"/>
      <c r="L34" s="793"/>
      <c r="U34" s="110"/>
      <c r="AJ34" s="101">
        <v>1.1499999999999999</v>
      </c>
      <c r="AK34" s="78" t="s">
        <v>308</v>
      </c>
    </row>
    <row r="35" spans="1:37" s="21" customFormat="1" ht="15.75" thickBot="1">
      <c r="A35" s="863" t="s">
        <v>965</v>
      </c>
      <c r="B35" s="249" t="s">
        <v>309</v>
      </c>
      <c r="C35" s="3"/>
      <c r="D35" s="3"/>
      <c r="E35" s="3"/>
      <c r="F35" s="3"/>
      <c r="G35" s="3"/>
      <c r="H35" s="3"/>
      <c r="I35" s="3"/>
      <c r="J35" s="3"/>
      <c r="K35" s="3"/>
      <c r="L35" s="793"/>
      <c r="U35" s="110"/>
      <c r="AJ35" s="102">
        <v>1.1599999999999999</v>
      </c>
      <c r="AK35" s="78" t="s">
        <v>308</v>
      </c>
    </row>
    <row r="36" spans="1:37" s="21" customFormat="1" ht="30.75" customHeight="1" thickBot="1">
      <c r="A36" s="1618" t="s">
        <v>958</v>
      </c>
      <c r="B36" s="1619"/>
      <c r="C36" s="1619"/>
      <c r="D36" s="1619"/>
      <c r="E36" s="1619"/>
      <c r="F36" s="1619"/>
      <c r="G36" s="1619"/>
      <c r="H36" s="1619"/>
      <c r="I36" s="1619"/>
      <c r="J36" s="1619"/>
      <c r="K36" s="1619"/>
      <c r="L36" s="1620"/>
      <c r="AJ36" s="101">
        <v>1.17</v>
      </c>
      <c r="AK36" s="78" t="s">
        <v>308</v>
      </c>
    </row>
    <row r="37" spans="1:37" s="21" customFormat="1" ht="15.75" thickTop="1">
      <c r="A37" s="104"/>
      <c r="L37" s="97"/>
      <c r="AJ37" s="102">
        <v>1.18</v>
      </c>
      <c r="AK37" s="78" t="s">
        <v>308</v>
      </c>
    </row>
  </sheetData>
  <mergeCells count="4">
    <mergeCell ref="A2:A3"/>
    <mergeCell ref="A5:L5"/>
    <mergeCell ref="A20:L20"/>
    <mergeCell ref="A36:L36"/>
  </mergeCells>
  <hyperlinks>
    <hyperlink ref="A32" r:id="rId1"/>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6:S27"/>
  <sheetViews>
    <sheetView workbookViewId="0">
      <selection activeCell="F26" sqref="F26"/>
    </sheetView>
  </sheetViews>
  <sheetFormatPr baseColWidth="10" defaultRowHeight="15"/>
  <cols>
    <col min="1" max="1" width="65.42578125" style="867" customWidth="1"/>
    <col min="2" max="2" width="21.5703125" style="867" customWidth="1"/>
    <col min="3" max="3" width="15.140625" style="867" customWidth="1"/>
    <col min="4" max="4" width="17.7109375" style="867" customWidth="1"/>
    <col min="5" max="5" width="13.42578125" style="867" bestFit="1" customWidth="1"/>
    <col min="6" max="6" width="9" style="867" bestFit="1" customWidth="1"/>
    <col min="7" max="7" width="13.42578125" style="867" bestFit="1" customWidth="1"/>
    <col min="8" max="8" width="9" style="867" bestFit="1" customWidth="1"/>
    <col min="9" max="9" width="13.42578125" style="867" bestFit="1" customWidth="1"/>
    <col min="10" max="10" width="9" style="867" bestFit="1" customWidth="1"/>
    <col min="11" max="11" width="13.42578125" style="867" bestFit="1" customWidth="1"/>
    <col min="12" max="12" width="9" style="867" bestFit="1" customWidth="1"/>
    <col min="13" max="13" width="13.42578125" style="867" bestFit="1" customWidth="1"/>
    <col min="14" max="14" width="9" style="867" bestFit="1" customWidth="1"/>
    <col min="15" max="15" width="13.42578125" style="867" bestFit="1" customWidth="1"/>
    <col min="16" max="16" width="9" style="867" bestFit="1" customWidth="1"/>
    <col min="17" max="17" width="12.5703125" style="867" bestFit="1" customWidth="1"/>
    <col min="18" max="18" width="9" style="867" bestFit="1" customWidth="1"/>
    <col min="19" max="19" width="13.42578125" style="867" bestFit="1" customWidth="1"/>
    <col min="20" max="16384" width="11.42578125" style="867"/>
  </cols>
  <sheetData>
    <row r="6" spans="1:5" ht="26.25">
      <c r="A6" s="865" t="s">
        <v>966</v>
      </c>
      <c r="B6" s="866"/>
    </row>
    <row r="7" spans="1:5" ht="15.75" thickBot="1"/>
    <row r="8" spans="1:5" ht="51.75" thickBot="1">
      <c r="A8" s="868" t="s">
        <v>967</v>
      </c>
      <c r="B8" s="869" t="s">
        <v>968</v>
      </c>
      <c r="C8" s="869" t="s">
        <v>969</v>
      </c>
      <c r="D8" s="870" t="s">
        <v>970</v>
      </c>
      <c r="E8" s="871" t="s">
        <v>710</v>
      </c>
    </row>
    <row r="9" spans="1:5" ht="15.75" customHeight="1">
      <c r="A9" s="872" t="s">
        <v>971</v>
      </c>
      <c r="B9" s="1621" t="s">
        <v>972</v>
      </c>
      <c r="C9" s="1621" t="s">
        <v>973</v>
      </c>
      <c r="D9" s="1621" t="s">
        <v>974</v>
      </c>
      <c r="E9" s="1622" t="s">
        <v>710</v>
      </c>
    </row>
    <row r="10" spans="1:5" ht="16.5" customHeight="1" thickBot="1">
      <c r="A10" s="873" t="s">
        <v>975</v>
      </c>
      <c r="B10" s="1621"/>
      <c r="C10" s="1621"/>
      <c r="D10" s="1621"/>
      <c r="E10" s="1622"/>
    </row>
    <row r="11" spans="1:5" ht="15.75" hidden="1" customHeight="1">
      <c r="A11" s="872" t="s">
        <v>976</v>
      </c>
      <c r="B11" s="1621" t="s">
        <v>977</v>
      </c>
      <c r="C11" s="1621" t="s">
        <v>978</v>
      </c>
      <c r="D11" s="1621" t="s">
        <v>978</v>
      </c>
      <c r="E11" s="1622"/>
    </row>
    <row r="12" spans="1:5" ht="16.5" hidden="1" customHeight="1" thickBot="1">
      <c r="A12" s="873" t="s">
        <v>979</v>
      </c>
      <c r="B12" s="1621"/>
      <c r="C12" s="1621"/>
      <c r="D12" s="1621"/>
      <c r="E12" s="1622"/>
    </row>
    <row r="13" spans="1:5" ht="15.75">
      <c r="A13" s="872" t="s">
        <v>980</v>
      </c>
      <c r="B13" s="1621" t="s">
        <v>981</v>
      </c>
      <c r="C13" s="1621" t="s">
        <v>982</v>
      </c>
      <c r="D13" s="1621" t="s">
        <v>983</v>
      </c>
      <c r="E13" s="1622"/>
    </row>
    <row r="14" spans="1:5" ht="16.5" customHeight="1" thickBot="1">
      <c r="A14" s="873" t="s">
        <v>984</v>
      </c>
      <c r="B14" s="1621"/>
      <c r="C14" s="1621"/>
      <c r="D14" s="1621"/>
      <c r="E14" s="1622"/>
    </row>
    <row r="15" spans="1:5" ht="19.5" thickBot="1">
      <c r="A15" s="873" t="s">
        <v>985</v>
      </c>
      <c r="B15" s="874" t="s">
        <v>986</v>
      </c>
      <c r="C15" s="874" t="s">
        <v>987</v>
      </c>
      <c r="D15" s="874" t="s">
        <v>988</v>
      </c>
      <c r="E15" s="875"/>
    </row>
    <row r="16" spans="1:5" ht="18.75">
      <c r="A16" s="872" t="s">
        <v>989</v>
      </c>
      <c r="B16" s="874" t="s">
        <v>990</v>
      </c>
      <c r="C16" s="874" t="s">
        <v>991</v>
      </c>
      <c r="D16" s="874" t="s">
        <v>992</v>
      </c>
      <c r="E16" s="876"/>
    </row>
    <row r="17" spans="1:19" ht="18.75">
      <c r="A17" s="877" t="s">
        <v>993</v>
      </c>
      <c r="B17" s="878" t="s">
        <v>994</v>
      </c>
      <c r="C17" s="879" t="s">
        <v>995</v>
      </c>
      <c r="D17" s="878" t="s">
        <v>996</v>
      </c>
      <c r="E17" s="880"/>
    </row>
    <row r="21" spans="1:19">
      <c r="A21" s="881" t="s">
        <v>997</v>
      </c>
      <c r="B21" s="882">
        <v>2006</v>
      </c>
      <c r="C21" s="882" t="s">
        <v>998</v>
      </c>
      <c r="D21" s="882">
        <v>2007</v>
      </c>
      <c r="E21" s="882" t="s">
        <v>998</v>
      </c>
      <c r="F21" s="882">
        <v>2008</v>
      </c>
      <c r="G21" s="882" t="s">
        <v>998</v>
      </c>
      <c r="H21" s="882">
        <v>2009</v>
      </c>
      <c r="I21" s="882" t="s">
        <v>998</v>
      </c>
      <c r="J21" s="882">
        <v>2010</v>
      </c>
      <c r="K21" s="882" t="s">
        <v>998</v>
      </c>
      <c r="L21" s="882">
        <v>2011</v>
      </c>
      <c r="M21" s="882" t="s">
        <v>998</v>
      </c>
      <c r="N21" s="882">
        <v>2012</v>
      </c>
      <c r="O21" s="882" t="s">
        <v>998</v>
      </c>
      <c r="P21" s="882">
        <v>2013</v>
      </c>
      <c r="Q21" s="882" t="s">
        <v>998</v>
      </c>
      <c r="R21" s="882">
        <v>2014</v>
      </c>
      <c r="S21" s="882" t="s">
        <v>998</v>
      </c>
    </row>
    <row r="22" spans="1:19" ht="15.75">
      <c r="A22" s="877" t="s">
        <v>971</v>
      </c>
      <c r="B22" s="883">
        <f>+'Anexo 1 - Balance'!B56/'Anexo 1 - Balance'!B157</f>
        <v>4.2601771097402983</v>
      </c>
      <c r="C22" s="883" t="str">
        <f>+IF(B22&lt;1.2,"PROBLEMAS",IF(B22&lt;1.42,"PRECAUCION","SANO"))</f>
        <v>SANO</v>
      </c>
      <c r="D22" s="883">
        <f>+'Anexo 1 - Balance'!C56/'Anexo 1 - Balance'!C157</f>
        <v>3.6895357706749961</v>
      </c>
      <c r="E22" s="883" t="str">
        <f>+IF(D22&lt;1.2,"PROBLEMAS",IF(D22&lt;1.42,"PRECAUCION","SANO"))</f>
        <v>SANO</v>
      </c>
      <c r="F22" s="883">
        <f>+'Anexo 1 - Balance'!D56/'Anexo 1 - Balance'!D157</f>
        <v>3.9678390793825122</v>
      </c>
      <c r="G22" s="883" t="str">
        <f>+IF(F22&lt;1.2,"PROBLEMAS",IF(F22&lt;1.42,"PRECAUCION","SANO"))</f>
        <v>SANO</v>
      </c>
      <c r="H22" s="883">
        <f>+'Anexo 1 - Balance'!E56/'Anexo 1 - Balance'!E157</f>
        <v>1.9209569893334468</v>
      </c>
      <c r="I22" s="883" t="str">
        <f>+IF(H22&lt;1.2,"PROBLEMAS",IF(H22&lt;1.42,"PRECAUCION","SANO"))</f>
        <v>SANO</v>
      </c>
      <c r="J22" s="883">
        <f>+'Anexo 1 - Balance'!F56/'Anexo 1 - Balance'!F157</f>
        <v>1.2601017429214842</v>
      </c>
      <c r="K22" s="883" t="str">
        <f>+IF(J22&lt;1.2,"PROBLEMAS",IF(J22&lt;1.42,"PRECAUCION","SANO"))</f>
        <v>PRECAUCION</v>
      </c>
      <c r="L22" s="883">
        <f>+'Anexo 1 - Balance'!G56/'Anexo 1 - Balance'!G157</f>
        <v>1.2744921523679298</v>
      </c>
      <c r="M22" s="883" t="str">
        <f>+IF(L22&lt;1.2,"PROBLEMAS",IF(L22&lt;1.42,"PRECAUCION","SANO"))</f>
        <v>PRECAUCION</v>
      </c>
      <c r="N22" s="883">
        <f>+'Anexo 1 - Balance'!H56/'Anexo 1 - Balance'!H157</f>
        <v>2.0907520303210005</v>
      </c>
      <c r="O22" s="883" t="str">
        <f>+IF(N22&lt;1.2,"PROBLEMAS",IF(N22&lt;1.42,"PRECAUCION","SANO"))</f>
        <v>SANO</v>
      </c>
      <c r="P22" s="883">
        <f>+'Anexo 1 - Balance'!I56/'Anexo 1 - Balance'!I157</f>
        <v>1.4834033328817233</v>
      </c>
      <c r="Q22" s="883" t="str">
        <f>+IF(P22&lt;1.2,"PROBLEMAS",IF(P22&lt;1.42,"PRECAUCION","SANO"))</f>
        <v>SANO</v>
      </c>
      <c r="R22" s="883">
        <f>+'Anexo 1 - Balance'!J56/'Anexo 1 - Balance'!J157</f>
        <v>1.3593975068099182</v>
      </c>
      <c r="S22" s="883" t="str">
        <f>+IF(R22&lt;1.2,"PROBLEMAS",IF(R22&lt;1.42,"PRECAUCION","SANO"))</f>
        <v>PRECAUCION</v>
      </c>
    </row>
    <row r="23" spans="1:19" ht="15.75">
      <c r="A23" s="877" t="s">
        <v>999</v>
      </c>
      <c r="B23" s="883">
        <f>+'Anexo 1 - Balance'!B229/'Anexo 1 - Balance'!B106</f>
        <v>0.79832846058080953</v>
      </c>
      <c r="C23" s="883" t="str">
        <f>+IF(B23&lt;0.3,"PROBLEMAS",IF(B23&lt;0.4,"PRECAUCION","SANO"))</f>
        <v>SANO</v>
      </c>
      <c r="D23" s="883">
        <f>+'Anexo 1 - Balance'!C229/'Anexo 1 - Balance'!C106</f>
        <v>0.76641070396700461</v>
      </c>
      <c r="E23" s="883" t="str">
        <f>+IF(D23&lt;0.3,"PROBLEMAS",IF(D23&lt;0.4,"PRECAUCION","SANO"))</f>
        <v>SANO</v>
      </c>
      <c r="F23" s="883">
        <f>+'Anexo 1 - Balance'!D229/'Anexo 1 - Balance'!D106</f>
        <v>0.76996227836542031</v>
      </c>
      <c r="G23" s="883" t="str">
        <f>+IF(F23&lt;0.3,"PROBLEMAS",IF(F23&lt;0.4,"PRECAUCION","SANO"))</f>
        <v>SANO</v>
      </c>
      <c r="H23" s="883">
        <f>+'Anexo 1 - Balance'!E229/'Anexo 1 - Balance'!E106</f>
        <v>0.78026683942701247</v>
      </c>
      <c r="I23" s="883" t="str">
        <f>+IF(H23&lt;0.3,"PROBLEMAS",IF(H23&lt;0.4,"PRECAUCION","SANO"))</f>
        <v>SANO</v>
      </c>
      <c r="J23" s="883">
        <f>+'Anexo 1 - Balance'!F229/'Anexo 1 - Balance'!F106</f>
        <v>0.6393506443089253</v>
      </c>
      <c r="K23" s="883" t="str">
        <f>+IF(J23&lt;0.3,"PROBLEMAS",IF(J23&lt;0.4,"PRECAUCION","SANO"))</f>
        <v>SANO</v>
      </c>
      <c r="L23" s="883">
        <f>+'Anexo 1 - Balance'!G229/'Anexo 1 - Balance'!G106</f>
        <v>0.65661916672409837</v>
      </c>
      <c r="M23" s="883" t="str">
        <f>+IF(L23&lt;0.3,"PROBLEMAS",IF(L23&lt;0.4,"PRECAUCION","SANO"))</f>
        <v>SANO</v>
      </c>
      <c r="N23" s="883">
        <f>+'Anexo 1 - Balance'!H229/'Anexo 1 - Balance'!H106</f>
        <v>0.55396569891817726</v>
      </c>
      <c r="O23" s="883" t="str">
        <f>+IF(N23&lt;0.3,"PROBLEMAS",IF(N23&lt;0.4,"PRECAUCION","SANO"))</f>
        <v>SANO</v>
      </c>
      <c r="P23" s="883">
        <f>+'Anexo 1 - Balance'!I229/'Anexo 1 - Balance'!I106</f>
        <v>0.40278447767593933</v>
      </c>
      <c r="Q23" s="883" t="str">
        <f>+IF(P23&lt;0.3,"PROBLEMAS",IF(P23&lt;0.4,"PRECAUCION","SANO"))</f>
        <v>SANO</v>
      </c>
      <c r="R23" s="883">
        <f>+'Anexo 1 - Balance'!J229/'Anexo 1 - Balance'!J106</f>
        <v>0.3225666371801445</v>
      </c>
      <c r="S23" s="883" t="str">
        <f>+IF(R23&lt;0.3,"PROBLEMAS",IF(R23&lt;0.4,"PRECAUCION","SANO"))</f>
        <v>PRECAUCION</v>
      </c>
    </row>
    <row r="24" spans="1:19" ht="15.75">
      <c r="A24" s="877" t="s">
        <v>1000</v>
      </c>
      <c r="B24" s="884">
        <f>+'Anexo 2 - ER'!B14/'Anexo 1 - Balance'!B106</f>
        <v>0.14380133557974875</v>
      </c>
      <c r="C24" s="883" t="str">
        <f>+IF(B24&lt;2%,"PROBLEMAS",IF(B24&lt;3%,"PRECAUCION","SANO"))</f>
        <v>SANO</v>
      </c>
      <c r="D24" s="884">
        <f>+'Anexo 2 - ER'!C14/'Anexo 1 - Balance'!C106</f>
        <v>0.19579403138256668</v>
      </c>
      <c r="E24" s="883" t="str">
        <f>+IF(D24&lt;2%,"PROBLEMAS",IF(D24&lt;3%,"PRECAUCION","SANO"))</f>
        <v>SANO</v>
      </c>
      <c r="F24" s="884">
        <f>+'Anexo 2 - ER'!D14/'Anexo 1 - Balance'!D106</f>
        <v>0.21669103078182045</v>
      </c>
      <c r="G24" s="883" t="str">
        <f>+IF(F24&lt;2%,"PROBLEMAS",IF(F24&lt;3%,"PRECAUCION","SANO"))</f>
        <v>SANO</v>
      </c>
      <c r="H24" s="884">
        <f>+'Anexo 2 - ER'!E14/'Anexo 1 - Balance'!E106</f>
        <v>0.20860594553489098</v>
      </c>
      <c r="I24" s="883" t="str">
        <f>+IF(H24&lt;2%,"PROBLEMAS",IF(H24&lt;3%,"PRECAUCION","SANO"))</f>
        <v>SANO</v>
      </c>
      <c r="J24" s="884">
        <f>+'Anexo 2 - ER'!F14/'Anexo 1 - Balance'!F106</f>
        <v>0.23250739934180212</v>
      </c>
      <c r="K24" s="883" t="str">
        <f>+IF(J24&lt;2%,"PROBLEMAS",IF(J24&lt;3%,"PRECAUCION","SANO"))</f>
        <v>SANO</v>
      </c>
      <c r="L24" s="884">
        <f>+'Anexo 2 - ER'!G14/'Anexo 1 - Balance'!G106</f>
        <v>0.18348158244445642</v>
      </c>
      <c r="M24" s="883" t="str">
        <f>+IF(L24&lt;2%,"PROBLEMAS",IF(L24&lt;3%,"PRECAUCION","SANO"))</f>
        <v>SANO</v>
      </c>
      <c r="N24" s="884">
        <f>+'Anexo 2 - ER'!H14/'Anexo 1 - Balance'!H106</f>
        <v>0.39150719601435752</v>
      </c>
      <c r="O24" s="883" t="str">
        <f>+IF(N24&lt;2%,"PROBLEMAS",IF(N24&lt;3%,"PRECAUCION","SANO"))</f>
        <v>SANO</v>
      </c>
      <c r="P24" s="884">
        <f>+'Anexo 2 - ER'!I14/'Anexo 1 - Balance'!I106</f>
        <v>0.24307096532132724</v>
      </c>
      <c r="Q24" s="883" t="str">
        <f>+IF(P24&lt;2%,"PROBLEMAS",IF(P24&lt;3%,"PRECAUCION","SANO"))</f>
        <v>SANO</v>
      </c>
      <c r="R24" s="884">
        <f>+'Anexo 2 - ER'!J14/'Anexo 1 - Balance'!J106</f>
        <v>0.13326780222050832</v>
      </c>
      <c r="S24" s="883" t="str">
        <f>+IF(R24&lt;2%,"PROBLEMAS",IF(R24&lt;3%,"PRECAUCION","SANO"))</f>
        <v>SANO</v>
      </c>
    </row>
    <row r="25" spans="1:19" ht="15.75">
      <c r="A25" s="877" t="s">
        <v>1001</v>
      </c>
      <c r="B25" s="884">
        <f>+'Anexo 2 - ER'!B27/'Anexo 2 - ER'!B4</f>
        <v>0.15888055411086763</v>
      </c>
      <c r="C25" s="883" t="str">
        <f>+IF(B25&lt;1%,"PROBLEMAS",IF(B25&lt;3%,"PRECAUCION","SANO"))</f>
        <v>SANO</v>
      </c>
      <c r="D25" s="884">
        <f>+'Anexo 2 - ER'!C27/'Anexo 2 - ER'!C4</f>
        <v>0.18032437758847564</v>
      </c>
      <c r="E25" s="883" t="str">
        <f>+IF(D25&lt;1%,"PROBLEMAS",IF(D25&lt;3%,"PRECAUCION","SANO"))</f>
        <v>SANO</v>
      </c>
      <c r="F25" s="884">
        <f>+'Anexo 2 - ER'!D27/'Anexo 2 - ER'!D4</f>
        <v>0.30176463452463731</v>
      </c>
      <c r="G25" s="883" t="str">
        <f>+IF(F25&lt;1%,"PROBLEMAS",IF(F25&lt;3%,"PRECAUCION","SANO"))</f>
        <v>SANO</v>
      </c>
      <c r="H25" s="884">
        <f>+'Anexo 2 - ER'!E27/'Anexo 2 - ER'!E4</f>
        <v>0.1751094360512449</v>
      </c>
      <c r="I25" s="883" t="str">
        <f>+IF(H25&lt;1%,"PROBLEMAS",IF(H25&lt;3%,"PRECAUCION","SANO"))</f>
        <v>SANO</v>
      </c>
      <c r="J25" s="884">
        <f>+'Anexo 2 - ER'!F27/'Anexo 2 - ER'!F4</f>
        <v>0.21200182687205088</v>
      </c>
      <c r="K25" s="883" t="str">
        <f>+IF(J25&lt;1%,"PROBLEMAS",IF(J25&lt;3%,"PRECAUCION","SANO"))</f>
        <v>SANO</v>
      </c>
      <c r="L25" s="884">
        <f>+'Anexo 2 - ER'!G27/'Anexo 2 - ER'!G4</f>
        <v>0.19688905404532139</v>
      </c>
      <c r="M25" s="883" t="str">
        <f>+IF(L25&lt;1%,"PROBLEMAS",IF(L25&lt;3%,"PRECAUCION","SANO"))</f>
        <v>SANO</v>
      </c>
      <c r="N25" s="884">
        <f>+'Anexo 2 - ER'!H27/'Anexo 2 - ER'!H4</f>
        <v>0.16251877279901547</v>
      </c>
      <c r="O25" s="883" t="str">
        <f>+IF(N25&lt;1%,"PROBLEMAS",IF(N25&lt;3%,"PRECAUCION","SANO"))</f>
        <v>SANO</v>
      </c>
      <c r="P25" s="884">
        <f>+'Anexo 2 - ER'!I27/'Anexo 2 - ER'!I4</f>
        <v>0.1388247346350828</v>
      </c>
      <c r="Q25" s="883" t="str">
        <f>+IF(P25&lt;1%,"PROBLEMAS",IF(P25&lt;3%,"PRECAUCION","SANO"))</f>
        <v>SANO</v>
      </c>
      <c r="R25" s="884">
        <f>+'Anexo 2 - ER'!J27/'Anexo 2 - ER'!J4</f>
        <v>0.15027600035428931</v>
      </c>
      <c r="S25" s="883" t="str">
        <f>+IF(R25&lt;1%,"PROBLEMAS",IF(R25&lt;3%,"PRECAUCION","SANO"))</f>
        <v>SANO</v>
      </c>
    </row>
    <row r="26" spans="1:19" ht="15.75">
      <c r="A26" s="877" t="s">
        <v>56</v>
      </c>
      <c r="B26" s="884">
        <f>+'Anexo 2 - ER'!B27/'Anexo 1 - Balance'!B229</f>
        <v>0.15794043307767858</v>
      </c>
      <c r="C26" s="883" t="str">
        <f>+IF(B26&lt;3%,"PROBLEMAS",IF(B26&lt;7%,"PRECAUCION","SANO"))</f>
        <v>SANO</v>
      </c>
      <c r="D26" s="884">
        <f>+'Anexo 2 - ER'!C27/'Anexo 1 - Balance'!C229</f>
        <v>0.21328471309015992</v>
      </c>
      <c r="E26" s="883" t="str">
        <f>+IF(D26&lt;3%,"PROBLEMAS",IF(D26&lt;7%,"PRECAUCION","SANO"))</f>
        <v>SANO</v>
      </c>
      <c r="F26" s="884">
        <f>+'Anexo 2 - ER'!D27/'Anexo 1 - Balance'!D229</f>
        <v>0.31182068876856239</v>
      </c>
      <c r="G26" s="883" t="str">
        <f>+IF(F26&lt;3%,"PROBLEMAS",IF(F26&lt;7%,"PRECAUCION","SANO"))</f>
        <v>SANO</v>
      </c>
      <c r="H26" s="884">
        <f>+'Anexo 2 - ER'!E27/'Anexo 1 - Balance'!E229</f>
        <v>0.18454679358395956</v>
      </c>
      <c r="I26" s="883" t="str">
        <f>+IF(H26&lt;3%,"PROBLEMAS",IF(H26&lt;7%,"PRECAUCION","SANO"))</f>
        <v>SANO</v>
      </c>
      <c r="J26" s="884">
        <f>+'Anexo 2 - ER'!F27/'Anexo 1 - Balance'!F229</f>
        <v>0.27926444039508913</v>
      </c>
      <c r="K26" s="883" t="str">
        <f>+IF(J26&lt;3%,"PROBLEMAS",IF(J26&lt;7%,"PRECAUCION","SANO"))</f>
        <v>SANO</v>
      </c>
      <c r="L26" s="884">
        <f>+'Anexo 2 - ER'!G27/'Anexo 1 - Balance'!G229</f>
        <v>0.25679021277535902</v>
      </c>
      <c r="M26" s="883" t="str">
        <f>+IF(L26&lt;3%,"PROBLEMAS",IF(L26&lt;7%,"PRECAUCION","SANO"))</f>
        <v>SANO</v>
      </c>
      <c r="N26" s="884">
        <f>+'Anexo 2 - ER'!H27/'Anexo 1 - Balance'!H229</f>
        <v>0.48112121767753252</v>
      </c>
      <c r="O26" s="883" t="str">
        <f>+IF(N26&lt;3%,"PROBLEMAS",IF(N26&lt;7%,"PRECAUCION","SANO"))</f>
        <v>SANO</v>
      </c>
      <c r="P26" s="884">
        <f>+'Anexo 2 - ER'!I27/'Anexo 1 - Balance'!I229</f>
        <v>0.46047040819721252</v>
      </c>
      <c r="Q26" s="883" t="str">
        <f>+IF(P26&lt;3%,"PROBLEMAS",IF(P26&lt;7%,"PRECAUCION","SANO"))</f>
        <v>SANO</v>
      </c>
      <c r="R26" s="884">
        <f>+'Anexo 2 - ER'!J27/'Anexo 1 - Balance'!J229</f>
        <v>0.48074819488062948</v>
      </c>
      <c r="S26" s="883" t="str">
        <f>+IF(R26&lt;3%,"PROBLEMAS",IF(R26&lt;7%,"PRECAUCION","SANO"))</f>
        <v>SANO</v>
      </c>
    </row>
    <row r="27" spans="1:19" ht="15.75">
      <c r="A27" s="877" t="s">
        <v>457</v>
      </c>
      <c r="B27" s="884">
        <f>+('Anexo 1 - Balance'!B107+'Anexo 1 - Balance'!B158)/'Anexo 2 - ER'!B4</f>
        <v>0</v>
      </c>
      <c r="C27" s="883" t="str">
        <f>+IF(B27&gt;25%,"PROBLEMAS",IF(B27&gt;25%,"PRECAUCION","SANO"))</f>
        <v>SANO</v>
      </c>
      <c r="D27" s="884">
        <f>+('Anexo 1 - Balance'!C107+'Anexo 1 - Balance'!C158)/'Anexo 2 - ER'!C4</f>
        <v>0</v>
      </c>
      <c r="E27" s="883" t="str">
        <f>+IF(D27&gt;25%,"PROBLEMAS",IF(D27&gt;25%,"PRECAUCION","SANO"))</f>
        <v>SANO</v>
      </c>
      <c r="F27" s="884">
        <f>+('Anexo 1 - Balance'!D107+'Anexo 1 - Balance'!D158)/'Anexo 2 - ER'!D4</f>
        <v>0</v>
      </c>
      <c r="G27" s="883" t="str">
        <f>+IF(F27&gt;25%,"PROBLEMAS",IF(F27&gt;25%,"PRECAUCION","SANO"))</f>
        <v>SANO</v>
      </c>
      <c r="H27" s="884">
        <f>+('Anexo 1 - Balance'!E107+'Anexo 1 - Balance'!E158)/'Anexo 2 - ER'!E4</f>
        <v>0</v>
      </c>
      <c r="I27" s="883" t="str">
        <f>+IF(H27&gt;25%,"PROBLEMAS",IF(H27&gt;25%,"PRECAUCION","SANO"))</f>
        <v>SANO</v>
      </c>
      <c r="J27" s="884">
        <f>+('Anexo 1 - Balance'!F107+'Anexo 1 - Balance'!F158)/'Anexo 2 - ER'!F4</f>
        <v>0</v>
      </c>
      <c r="K27" s="883" t="str">
        <f>+IF(J27&gt;25%,"PROBLEMAS",IF(J27&gt;25%,"PRECAUCION","SANO"))</f>
        <v>SANO</v>
      </c>
      <c r="L27" s="884">
        <f>+('Anexo 1 - Balance'!G107+'Anexo 1 - Balance'!G158)/'Anexo 2 - ER'!G4</f>
        <v>0</v>
      </c>
      <c r="M27" s="883" t="str">
        <f>+IF(L27&gt;25%,"PROBLEMAS",IF(L27&gt;25%,"PRECAUCION","SANO"))</f>
        <v>SANO</v>
      </c>
      <c r="N27" s="884">
        <f>+('Anexo 1 - Balance'!H107+'Anexo 1 - Balance'!H158)/'Anexo 2 - ER'!H4</f>
        <v>0</v>
      </c>
      <c r="O27" s="883" t="str">
        <f>+IF(N27&gt;25%,"PROBLEMAS",IF(N27&gt;25%,"PRECAUCION","SANO"))</f>
        <v>SANO</v>
      </c>
      <c r="P27" s="884">
        <f>+('Anexo 1 - Balance'!I107+'Anexo 1 - Balance'!I158)/'Anexo 2 - ER'!I4</f>
        <v>0</v>
      </c>
      <c r="Q27" s="883" t="str">
        <f>+IF(P27&gt;25%,"PROBLEMAS",IF(P27&gt;25%,"PRECAUCION","SANO"))</f>
        <v>SANO</v>
      </c>
      <c r="R27" s="884">
        <f>+('Anexo 1 - Balance'!J107+'Anexo 1 - Balance'!J158)/'Anexo 2 - ER'!J4</f>
        <v>0</v>
      </c>
      <c r="S27" s="883" t="str">
        <f>+IF(R27&gt;25%,"PROBLEMAS",IF(R27&gt;25%,"PRECAUCION","SANO"))</f>
        <v>SANO</v>
      </c>
    </row>
  </sheetData>
  <mergeCells count="12">
    <mergeCell ref="B13:B14"/>
    <mergeCell ref="C13:C14"/>
    <mergeCell ref="D13:D14"/>
    <mergeCell ref="E13:E14"/>
    <mergeCell ref="B9:B10"/>
    <mergeCell ref="C9:C10"/>
    <mergeCell ref="D9:D10"/>
    <mergeCell ref="E9:E10"/>
    <mergeCell ref="B11:B12"/>
    <mergeCell ref="C11:C12"/>
    <mergeCell ref="D11:D12"/>
    <mergeCell ref="E11:E12"/>
  </mergeCells>
  <pageMargins left="0.7" right="0.7" top="0.75" bottom="0.75" header="0.3" footer="0.3"/>
  <pageSetup orientation="portrait" horizontalDpi="1200" verticalDpi="1200"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6:N31"/>
  <sheetViews>
    <sheetView workbookViewId="0">
      <selection activeCell="F10" sqref="F10"/>
    </sheetView>
  </sheetViews>
  <sheetFormatPr baseColWidth="10" defaultRowHeight="15"/>
  <cols>
    <col min="1" max="1" width="13.28515625" style="867" customWidth="1"/>
    <col min="2" max="5" width="11.42578125" style="867"/>
    <col min="6" max="6" width="9.5703125" style="867" bestFit="1" customWidth="1"/>
    <col min="7" max="7" width="12.28515625" style="867" bestFit="1" customWidth="1"/>
    <col min="8" max="14" width="9" style="867" bestFit="1" customWidth="1"/>
    <col min="15" max="16384" width="11.42578125" style="867"/>
  </cols>
  <sheetData>
    <row r="6" spans="1:14" ht="33.75">
      <c r="A6" s="885" t="s">
        <v>1002</v>
      </c>
      <c r="B6" s="885"/>
      <c r="C6" s="885"/>
      <c r="D6" s="885"/>
      <c r="E6" s="886"/>
      <c r="F6" s="886"/>
    </row>
    <row r="8" spans="1:14" ht="15.75" thickBot="1"/>
    <row r="9" spans="1:14">
      <c r="A9" s="887" t="s">
        <v>1003</v>
      </c>
      <c r="B9" s="888"/>
      <c r="C9" s="888"/>
      <c r="D9" s="888"/>
      <c r="E9" s="888"/>
      <c r="F9" s="889">
        <v>2006</v>
      </c>
      <c r="G9" s="889">
        <v>2007</v>
      </c>
      <c r="H9" s="889">
        <v>2008</v>
      </c>
      <c r="I9" s="889">
        <v>2009</v>
      </c>
      <c r="J9" s="889">
        <v>2010</v>
      </c>
      <c r="K9" s="889">
        <v>2011</v>
      </c>
      <c r="L9" s="889">
        <v>2012</v>
      </c>
      <c r="M9" s="889">
        <v>2013</v>
      </c>
      <c r="N9" s="889">
        <v>2014</v>
      </c>
    </row>
    <row r="10" spans="1:14">
      <c r="A10" s="890" t="s">
        <v>1004</v>
      </c>
      <c r="B10" s="21"/>
      <c r="C10" s="21"/>
      <c r="D10" s="21"/>
      <c r="E10" s="21">
        <v>0.24</v>
      </c>
      <c r="F10" s="891">
        <f>+'Anexo 2 - ER'!B14/'Anexo 1 - Balance'!B206</f>
        <v>0.71304724500984784</v>
      </c>
      <c r="G10" s="891">
        <f>+'Anexo 2 - ER'!C14/'Anexo 1 - Balance'!C206</f>
        <v>0.83819778863030581</v>
      </c>
      <c r="H10" s="891">
        <f>+'Anexo 2 - ER'!D14/'Anexo 1 - Balance'!D206</f>
        <v>0.94198042495847378</v>
      </c>
      <c r="I10" s="891">
        <f>+'Anexo 2 - ER'!E14/'Anexo 1 - Balance'!E206</f>
        <v>0.94936032864097197</v>
      </c>
      <c r="J10" s="891">
        <f>+'Anexo 2 - ER'!F14/'Anexo 1 - Balance'!F206</f>
        <v>0.64469101544981977</v>
      </c>
      <c r="K10" s="891">
        <f>+'Anexo 2 - ER'!G14/'Anexo 1 - Balance'!G206</f>
        <v>0.53433845067593388</v>
      </c>
      <c r="L10" s="891">
        <f>+'Anexo 2 - ER'!H14/'Anexo 1 - Balance'!H206</f>
        <v>0.87775131882186219</v>
      </c>
      <c r="M10" s="891">
        <f>+'Anexo 2 - ER'!I14/'Anexo 1 - Balance'!I206</f>
        <v>0.40700711256703109</v>
      </c>
      <c r="N10" s="891">
        <f>+'Anexo 2 - ER'!J14/'Anexo 1 - Balance'!J206</f>
        <v>0.19672459246142446</v>
      </c>
    </row>
    <row r="11" spans="1:14">
      <c r="A11" s="890" t="s">
        <v>1005</v>
      </c>
      <c r="B11" s="21"/>
      <c r="C11" s="21"/>
      <c r="D11" s="21"/>
      <c r="E11" s="21">
        <v>0.22</v>
      </c>
      <c r="F11" s="891">
        <f>+('Anexo 1 - Balance'!B229+'Anexo 1 - Balance'!B205)/'Anexo 1 - Balance'!B106</f>
        <v>0.79832846058080953</v>
      </c>
      <c r="G11" s="891">
        <f>+('Anexo 1 - Balance'!C229+'Anexo 1 - Balance'!C205)/'Anexo 1 - Balance'!C106</f>
        <v>0.76641070396700461</v>
      </c>
      <c r="H11" s="891">
        <f>+('Anexo 1 - Balance'!D229+'Anexo 1 - Balance'!D205)/'Anexo 1 - Balance'!D106</f>
        <v>0.76996227836542031</v>
      </c>
      <c r="I11" s="891">
        <f>+('Anexo 1 - Balance'!E229+'Anexo 1 - Balance'!E205)/'Anexo 1 - Balance'!E106</f>
        <v>0.78026683942701247</v>
      </c>
      <c r="J11" s="891">
        <f>+('Anexo 1 - Balance'!F229+'Anexo 1 - Balance'!F205)/'Anexo 1 - Balance'!F106</f>
        <v>0.6393506443089253</v>
      </c>
      <c r="K11" s="891">
        <f>+('Anexo 1 - Balance'!G229+'Anexo 1 - Balance'!G205)/'Anexo 1 - Balance'!G106</f>
        <v>0.65661916672409837</v>
      </c>
      <c r="L11" s="891">
        <f>+('Anexo 1 - Balance'!H229+'Anexo 1 - Balance'!H205)/'Anexo 1 - Balance'!H106</f>
        <v>0.57659125912133236</v>
      </c>
      <c r="M11" s="891">
        <f>+('Anexo 1 - Balance'!I229+'Anexo 1 - Balance'!I205)/'Anexo 1 - Balance'!I106</f>
        <v>0.40657662003537548</v>
      </c>
      <c r="N11" s="891">
        <f>+('Anexo 1 - Balance'!J229+'Anexo 1 - Balance'!J205)/'Anexo 1 - Balance'!J106</f>
        <v>0.3225666371801445</v>
      </c>
    </row>
    <row r="12" spans="1:14">
      <c r="A12" s="890" t="s">
        <v>1006</v>
      </c>
      <c r="B12" s="21"/>
      <c r="C12" s="21"/>
      <c r="D12" s="21"/>
      <c r="E12" s="21">
        <v>0.16</v>
      </c>
      <c r="F12" s="891">
        <f>+('Anexo 1 - Balance'!B8+'Anexo 1 - Balance'!B9)/'Anexo 1 - Balance'!B157</f>
        <v>0.71661289095988545</v>
      </c>
      <c r="G12" s="891">
        <f>+('Anexo 1 - Balance'!C8+'Anexo 1 - Balance'!C9)/'Anexo 1 - Balance'!C157</f>
        <v>0.60958990341108565</v>
      </c>
      <c r="H12" s="891">
        <f>+('Anexo 1 - Balance'!D8+'Anexo 1 - Balance'!D9)/'Anexo 1 - Balance'!D157</f>
        <v>0.47542910541978334</v>
      </c>
      <c r="I12" s="891">
        <f>+('Anexo 1 - Balance'!E8+'Anexo 1 - Balance'!E9)/'Anexo 1 - Balance'!E157</f>
        <v>0.41706856491652783</v>
      </c>
      <c r="J12" s="891">
        <f>+('Anexo 1 - Balance'!F8+'Anexo 1 - Balance'!F9)/'Anexo 1 - Balance'!F157</f>
        <v>0.30761814400274745</v>
      </c>
      <c r="K12" s="891">
        <f>+('Anexo 1 - Balance'!G8+'Anexo 1 - Balance'!G9)/'Anexo 1 - Balance'!G157</f>
        <v>0.20897475464443721</v>
      </c>
      <c r="L12" s="891">
        <f>+('Anexo 1 - Balance'!H8+'Anexo 1 - Balance'!H9)/'Anexo 1 - Balance'!H157</f>
        <v>0.32486739229523459</v>
      </c>
      <c r="M12" s="891">
        <f>+('Anexo 1 - Balance'!I8+'Anexo 1 - Balance'!I9)/'Anexo 1 - Balance'!I157</f>
        <v>0.26717246985503318</v>
      </c>
      <c r="N12" s="891">
        <f>+('Anexo 1 - Balance'!J8+'Anexo 1 - Balance'!J9)/'Anexo 1 - Balance'!J157</f>
        <v>0.11424308453896632</v>
      </c>
    </row>
    <row r="13" spans="1:14">
      <c r="A13" s="890" t="s">
        <v>1007</v>
      </c>
      <c r="B13" s="21"/>
      <c r="C13" s="21"/>
      <c r="D13" s="21"/>
      <c r="E13" s="21">
        <v>-0.87</v>
      </c>
      <c r="F13" s="891">
        <f>+'Anexo 2 - ER'!B19/'Anexo 2 - ER'!B4</f>
        <v>0.10349834502473459</v>
      </c>
      <c r="G13" s="891">
        <f>+'Anexo 2 - ER'!C19/'Anexo 2 - ER'!C4</f>
        <v>0.14682172461387144</v>
      </c>
      <c r="H13" s="891">
        <f>+'Anexo 2 - ER'!D19/'Anexo 2 - ER'!D4</f>
        <v>0.1988819737796097</v>
      </c>
      <c r="I13" s="891">
        <f>+'Anexo 2 - ER'!E19/'Anexo 2 - ER'!E4</f>
        <v>0.25410977119840861</v>
      </c>
      <c r="J13" s="891">
        <f>+'Anexo 2 - ER'!F19/'Anexo 2 - ER'!F4</f>
        <v>9.639539328514328E-2</v>
      </c>
      <c r="K13" s="891">
        <f>+'Anexo 2 - ER'!G19/'Anexo 2 - ER'!G4</f>
        <v>0.11857158483578693</v>
      </c>
      <c r="L13" s="891">
        <f>+'Anexo 2 - ER'!H19/'Anexo 2 - ER'!H4</f>
        <v>0.16784708494391448</v>
      </c>
      <c r="M13" s="891">
        <f>+'Anexo 2 - ER'!I19/'Anexo 2 - ER'!I4</f>
        <v>6.4942002403732602E-2</v>
      </c>
      <c r="N13" s="891">
        <f>+'Anexo 2 - ER'!J19/'Anexo 2 - ER'!J4</f>
        <v>0.16957735991437006</v>
      </c>
    </row>
    <row r="14" spans="1:14">
      <c r="A14" s="890" t="s">
        <v>1008</v>
      </c>
      <c r="B14" s="21"/>
      <c r="C14" s="21"/>
      <c r="D14" s="21"/>
      <c r="E14" s="21">
        <v>-0.1</v>
      </c>
      <c r="F14" s="891">
        <f>+('Anexo 2 - ER'!B10+'Anexo 2 - ER'!B12)/'Anexo 2 - ER'!B4</f>
        <v>0.35861593855388735</v>
      </c>
      <c r="G14" s="891">
        <f>+('Anexo 2 - ER'!C10+'Anexo 2 - ER'!C12)/'Anexo 2 - ER'!C4</f>
        <v>0.32301876926818179</v>
      </c>
      <c r="H14" s="891">
        <f>+('Anexo 2 - ER'!D10+'Anexo 2 - ER'!D12)/'Anexo 2 - ER'!D4</f>
        <v>0.34732681608918681</v>
      </c>
      <c r="I14" s="891">
        <f>+('Anexo 2 - ER'!E10+'Anexo 2 - ER'!E12)/'Anexo 2 - ER'!E4</f>
        <v>0.3936339488479858</v>
      </c>
      <c r="J14" s="891">
        <f>+('Anexo 2 - ER'!F10+'Anexo 2 - ER'!F12)/'Anexo 2 - ER'!F4</f>
        <v>0.38290876935549123</v>
      </c>
      <c r="K14" s="891">
        <f>+('Anexo 2 - ER'!G10+'Anexo 2 - ER'!G12)/'Anexo 2 - ER'!G4</f>
        <v>0.40420594846219643</v>
      </c>
      <c r="L14" s="891">
        <f>+('Anexo 2 - ER'!H10+'Anexo 2 - ER'!H12)/'Anexo 2 - ER'!H4</f>
        <v>0.404696842106196</v>
      </c>
      <c r="M14" s="891">
        <f>+('Anexo 2 - ER'!I10+'Anexo 2 - ER'!I12)/'Anexo 2 - ER'!I4</f>
        <v>0.46151284707111406</v>
      </c>
      <c r="N14" s="891">
        <f>+('Anexo 2 - ER'!J10+'Anexo 2 - ER'!J12)/'Anexo 2 - ER'!J4</f>
        <v>0.49193826759549175</v>
      </c>
    </row>
    <row r="15" spans="1:14">
      <c r="A15" s="888"/>
      <c r="B15" s="888" t="s">
        <v>1009</v>
      </c>
      <c r="C15" s="888"/>
      <c r="D15" s="888"/>
      <c r="E15" s="888"/>
      <c r="F15" s="892">
        <f>+SUMPRODUCT($E$10:$E$14,F10:F14)</f>
        <v>0.33551650865681543</v>
      </c>
      <c r="G15" s="892">
        <f t="shared" ref="G15:N15" si="0">+SUMPRODUCT($E$10:$E$14,G10:G14)</f>
        <v>0.30727543134890173</v>
      </c>
      <c r="H15" s="892">
        <f t="shared" si="0"/>
        <v>0.26377566130041236</v>
      </c>
      <c r="I15" s="892">
        <f t="shared" si="0"/>
        <v>0.20579725810700639</v>
      </c>
      <c r="J15" s="892">
        <f t="shared" si="0"/>
        <v>0.22244701940273615</v>
      </c>
      <c r="K15" s="892">
        <f t="shared" si="0"/>
        <v>0.16255553193128147</v>
      </c>
      <c r="L15" s="892">
        <f t="shared" si="0"/>
        <v>0.20299252817935243</v>
      </c>
      <c r="M15" s="892">
        <f t="shared" si="0"/>
        <v>0.12722533180231663</v>
      </c>
      <c r="N15" s="892">
        <f t="shared" si="0"/>
        <v>-6.0268673988442857E-2</v>
      </c>
    </row>
    <row r="16" spans="1:14">
      <c r="A16" s="888"/>
      <c r="B16" s="888"/>
      <c r="C16" s="888"/>
      <c r="D16" s="888"/>
      <c r="E16" s="888"/>
      <c r="F16" s="893" t="str">
        <f>+VLOOKUP(F15,$F$22:$G$31,2)</f>
        <v>10% PD</v>
      </c>
      <c r="G16" s="893" t="str">
        <f t="shared" ref="G16:N16" si="1">+VLOOKUP(G15,$F$22:$G$31,2)</f>
        <v>10% PD</v>
      </c>
      <c r="H16" s="893" t="str">
        <f t="shared" si="1"/>
        <v>10% PD</v>
      </c>
      <c r="I16" s="893" t="str">
        <f t="shared" si="1"/>
        <v>10% PD</v>
      </c>
      <c r="J16" s="893" t="str">
        <f t="shared" si="1"/>
        <v>10% PD</v>
      </c>
      <c r="K16" s="893" t="str">
        <f t="shared" si="1"/>
        <v>10% PD</v>
      </c>
      <c r="L16" s="893" t="str">
        <f t="shared" si="1"/>
        <v>10% PD</v>
      </c>
      <c r="M16" s="893" t="str">
        <f t="shared" si="1"/>
        <v>30% PD</v>
      </c>
      <c r="N16" s="893" t="str">
        <f t="shared" si="1"/>
        <v>100% PD</v>
      </c>
    </row>
    <row r="18" spans="4:7">
      <c r="D18" s="867" t="s">
        <v>710</v>
      </c>
    </row>
    <row r="19" spans="4:7">
      <c r="D19" s="867" t="s">
        <v>710</v>
      </c>
    </row>
    <row r="20" spans="4:7">
      <c r="D20" s="867" t="s">
        <v>710</v>
      </c>
    </row>
    <row r="21" spans="4:7">
      <c r="F21" s="894" t="s">
        <v>96</v>
      </c>
      <c r="G21" s="894" t="s">
        <v>1010</v>
      </c>
    </row>
    <row r="22" spans="4:7" ht="15.75" thickBot="1">
      <c r="F22" s="895">
        <v>-0.21</v>
      </c>
      <c r="G22" s="896" t="s">
        <v>1011</v>
      </c>
    </row>
    <row r="23" spans="4:7" ht="15.75" thickBot="1">
      <c r="F23" s="897">
        <v>-0.05</v>
      </c>
      <c r="G23" s="898" t="s">
        <v>1012</v>
      </c>
    </row>
    <row r="24" spans="4:7" ht="15.75" thickBot="1">
      <c r="F24" s="897">
        <v>0.02</v>
      </c>
      <c r="G24" s="898" t="s">
        <v>1013</v>
      </c>
    </row>
    <row r="25" spans="4:7" ht="15.75" thickBot="1">
      <c r="F25" s="897">
        <v>0.03</v>
      </c>
      <c r="G25" s="898" t="s">
        <v>1014</v>
      </c>
    </row>
    <row r="26" spans="4:7" ht="15.75" thickBot="1">
      <c r="F26" s="897">
        <v>0.05</v>
      </c>
      <c r="G26" s="898" t="s">
        <v>1015</v>
      </c>
    </row>
    <row r="27" spans="4:7" ht="15.75" thickBot="1">
      <c r="F27" s="899">
        <v>7.0000000000000007E-2</v>
      </c>
      <c r="G27" s="900" t="s">
        <v>1016</v>
      </c>
    </row>
    <row r="28" spans="4:7" ht="15.75" thickBot="1">
      <c r="F28" s="897">
        <v>0.09</v>
      </c>
      <c r="G28" s="898" t="s">
        <v>1017</v>
      </c>
    </row>
    <row r="29" spans="4:7" ht="15.75" thickBot="1">
      <c r="F29" s="897">
        <v>0.11</v>
      </c>
      <c r="G29" s="898" t="s">
        <v>1018</v>
      </c>
    </row>
    <row r="30" spans="4:7" ht="15.75" thickBot="1">
      <c r="F30" s="897">
        <v>0.13</v>
      </c>
      <c r="G30" s="898" t="s">
        <v>1019</v>
      </c>
    </row>
    <row r="31" spans="4:7" ht="15.75" thickBot="1">
      <c r="F31" s="897">
        <v>0.16</v>
      </c>
      <c r="G31" s="898" t="s">
        <v>1020</v>
      </c>
    </row>
  </sheetData>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70"/>
  <sheetViews>
    <sheetView showGridLines="0" topLeftCell="A3" workbookViewId="0">
      <pane xSplit="1" ySplit="6" topLeftCell="C55" activePane="bottomRight" state="frozen"/>
      <selection activeCell="A3" sqref="A3"/>
      <selection pane="topRight" activeCell="B3" sqref="B3"/>
      <selection pane="bottomLeft" activeCell="A9" sqref="A9"/>
      <selection pane="bottomRight" activeCell="J41" sqref="J41"/>
    </sheetView>
  </sheetViews>
  <sheetFormatPr baseColWidth="10" defaultColWidth="0" defaultRowHeight="0" customHeight="1" zeroHeight="1"/>
  <cols>
    <col min="1" max="1" width="52.28515625" style="64" customWidth="1"/>
    <col min="2" max="6" width="19.42578125" style="902" customWidth="1"/>
    <col min="7" max="10" width="13.5703125" style="902" bestFit="1" customWidth="1"/>
    <col min="11" max="11" width="11.42578125" style="64" customWidth="1"/>
    <col min="12" max="12" width="25" style="64" bestFit="1" customWidth="1"/>
    <col min="13" max="13" width="11.42578125" style="867" customWidth="1"/>
    <col min="14" max="14" width="14.28515625" style="867" customWidth="1"/>
    <col min="15" max="15" width="0" style="64" hidden="1" customWidth="1"/>
    <col min="16" max="16384" width="11.42578125" style="64" hidden="1"/>
  </cols>
  <sheetData>
    <row r="1" spans="1:14" s="867" customFormat="1" ht="45.75" customHeight="1">
      <c r="B1" s="901"/>
      <c r="C1" s="901"/>
      <c r="D1" s="901"/>
      <c r="E1" s="901"/>
      <c r="F1" s="901"/>
      <c r="G1" s="901"/>
      <c r="H1" s="901"/>
      <c r="I1" s="901"/>
      <c r="J1" s="901"/>
    </row>
    <row r="2" spans="1:14" s="867" customFormat="1" ht="15">
      <c r="B2" s="901"/>
      <c r="C2" s="901"/>
      <c r="D2" s="901"/>
      <c r="E2" s="901"/>
      <c r="F2" s="901"/>
      <c r="G2" s="901"/>
      <c r="H2" s="901"/>
      <c r="I2" s="901"/>
      <c r="J2" s="901"/>
    </row>
    <row r="3" spans="1:14" ht="18">
      <c r="A3" s="1623" t="s">
        <v>1021</v>
      </c>
      <c r="B3" s="1623"/>
      <c r="C3" s="1623"/>
      <c r="D3" s="1623"/>
      <c r="E3" s="1623"/>
      <c r="F3" s="1623"/>
      <c r="G3" s="1623"/>
      <c r="H3" s="1623"/>
      <c r="I3" s="1623"/>
      <c r="J3" s="1623"/>
      <c r="K3" s="1623"/>
      <c r="L3" s="1623"/>
      <c r="M3" s="1623"/>
      <c r="N3" s="1623"/>
    </row>
    <row r="4" spans="1:14" ht="15"/>
    <row r="5" spans="1:14" ht="15">
      <c r="L5" s="64">
        <v>2015</v>
      </c>
    </row>
    <row r="6" spans="1:14" ht="15.75">
      <c r="A6" s="1624" t="s">
        <v>1022</v>
      </c>
      <c r="B6" s="1624"/>
      <c r="C6" s="1624"/>
      <c r="D6" s="1624"/>
      <c r="E6" s="1624"/>
      <c r="F6" s="1624"/>
      <c r="G6" s="1624"/>
      <c r="H6" s="1624"/>
      <c r="I6" s="1624"/>
      <c r="J6" s="1624"/>
      <c r="L6" s="903" t="s">
        <v>1023</v>
      </c>
      <c r="M6" s="904"/>
    </row>
    <row r="7" spans="1:14" ht="15.75" thickBot="1">
      <c r="A7" s="905"/>
      <c r="B7" s="906"/>
      <c r="C7" s="906"/>
      <c r="D7" s="906"/>
      <c r="E7" s="906"/>
      <c r="F7" s="906"/>
      <c r="G7" s="906"/>
      <c r="H7" s="906"/>
      <c r="I7" s="906"/>
      <c r="J7" s="906"/>
      <c r="L7" s="907">
        <v>0.2</v>
      </c>
      <c r="M7" s="908"/>
    </row>
    <row r="8" spans="1:14" ht="15.75" thickBot="1">
      <c r="A8" s="909" t="s">
        <v>1024</v>
      </c>
      <c r="B8" s="910">
        <v>2006</v>
      </c>
      <c r="C8" s="910">
        <v>2007</v>
      </c>
      <c r="D8" s="910">
        <v>2008</v>
      </c>
      <c r="E8" s="910">
        <v>2009</v>
      </c>
      <c r="F8" s="910">
        <v>2010</v>
      </c>
      <c r="G8" s="910">
        <v>2011</v>
      </c>
      <c r="H8" s="910">
        <v>2012</v>
      </c>
      <c r="I8" s="910">
        <v>2013</v>
      </c>
      <c r="J8" s="910">
        <v>2014</v>
      </c>
      <c r="L8" s="911">
        <v>2015</v>
      </c>
    </row>
    <row r="9" spans="1:14" ht="15">
      <c r="A9" s="912" t="s">
        <v>1025</v>
      </c>
      <c r="B9" s="913">
        <f>+'Anexo 2 - ER'!B4</f>
        <v>58730.485000000001</v>
      </c>
      <c r="C9" s="913">
        <f>+'Anexo 2 - ER'!C4</f>
        <v>68245.282000000007</v>
      </c>
      <c r="D9" s="913">
        <f>+'Anexo 2 - ER'!D4</f>
        <v>76021.293999999994</v>
      </c>
      <c r="E9" s="913">
        <f>+'Anexo 2 - ER'!E4</f>
        <v>79887.293999999994</v>
      </c>
      <c r="F9" s="913">
        <f>+'Anexo 2 - ER'!F4</f>
        <v>85757.510999999999</v>
      </c>
      <c r="G9" s="913">
        <f>+'Anexo 2 - ER'!G4</f>
        <v>91145.91</v>
      </c>
      <c r="H9" s="913">
        <f>+'Anexo 2 - ER'!H4</f>
        <v>92529.489000000001</v>
      </c>
      <c r="I9" s="913">
        <f>+'Anexo 2 - ER'!I4</f>
        <v>99703.27</v>
      </c>
      <c r="J9" s="913">
        <f>+'Anexo 2 - ER'!J4</f>
        <v>99918.35</v>
      </c>
      <c r="L9" s="914">
        <f>+J9*(1+L7)</f>
        <v>119902.02</v>
      </c>
    </row>
    <row r="10" spans="1:14" ht="29.25" thickBot="1">
      <c r="A10" s="915" t="s">
        <v>1026</v>
      </c>
      <c r="B10" s="913">
        <f>+'Anexo 2 - ER'!B6</f>
        <v>27026.82</v>
      </c>
      <c r="C10" s="913">
        <f>+'Anexo 2 - ER'!C6</f>
        <v>31460.511999999999</v>
      </c>
      <c r="D10" s="913">
        <f>+'Anexo 2 - ER'!D6</f>
        <v>28912.302</v>
      </c>
      <c r="E10" s="913">
        <f>+'Anexo 2 - ER'!E6</f>
        <v>28175.117999999999</v>
      </c>
      <c r="F10" s="913">
        <f>+'Anexo 2 - ER'!F6</f>
        <v>29245</v>
      </c>
      <c r="G10" s="913">
        <f>+'Anexo 2 - ER'!G6</f>
        <v>34776.125999999997</v>
      </c>
      <c r="H10" s="913">
        <f>+'Anexo 2 - ER'!H6</f>
        <v>32993.588000000003</v>
      </c>
      <c r="I10" s="913">
        <f>+'Anexo 2 - ER'!I6</f>
        <v>35549.03</v>
      </c>
      <c r="J10" s="913">
        <f>+'Anexo 2 - ER'!J6</f>
        <v>37860.730000000003</v>
      </c>
      <c r="L10" s="914">
        <f>+L9*(J10/J9)</f>
        <v>45432.876000000004</v>
      </c>
    </row>
    <row r="11" spans="1:14" ht="15.75" thickBot="1">
      <c r="A11" s="916" t="s">
        <v>474</v>
      </c>
      <c r="B11" s="917">
        <f>+B9-B10</f>
        <v>31703.665000000001</v>
      </c>
      <c r="C11" s="917">
        <f t="shared" ref="C11:J11" si="0">+C9-C10</f>
        <v>36784.770000000004</v>
      </c>
      <c r="D11" s="917">
        <f t="shared" si="0"/>
        <v>47108.991999999998</v>
      </c>
      <c r="E11" s="917">
        <f t="shared" si="0"/>
        <v>51712.175999999992</v>
      </c>
      <c r="F11" s="917">
        <f t="shared" si="0"/>
        <v>56512.510999999999</v>
      </c>
      <c r="G11" s="917">
        <f t="shared" si="0"/>
        <v>56369.784000000007</v>
      </c>
      <c r="H11" s="917">
        <f t="shared" si="0"/>
        <v>59535.900999999998</v>
      </c>
      <c r="I11" s="917">
        <f t="shared" si="0"/>
        <v>64154.240000000005</v>
      </c>
      <c r="J11" s="917">
        <f t="shared" si="0"/>
        <v>62057.62</v>
      </c>
      <c r="L11" s="918">
        <f>+L9-L10</f>
        <v>74469.144</v>
      </c>
    </row>
    <row r="12" spans="1:14" ht="15">
      <c r="A12" s="912" t="s">
        <v>1027</v>
      </c>
      <c r="B12" s="913">
        <f>+'Anexo 2 - ER'!B10</f>
        <v>10330.721</v>
      </c>
      <c r="C12" s="913">
        <f>+'Anexo 2 - ER'!C10</f>
        <v>10408.217000000001</v>
      </c>
      <c r="D12" s="913">
        <f>+'Anexo 2 - ER'!D10</f>
        <v>13441.855</v>
      </c>
      <c r="E12" s="913">
        <f>+'Anexo 2 - ER'!E10</f>
        <v>18913.288</v>
      </c>
      <c r="F12" s="913">
        <f>+'Anexo 2 - ER'!F10</f>
        <v>20348.79</v>
      </c>
      <c r="G12" s="913">
        <f>+'Anexo 2 - ER'!G10</f>
        <v>23078.008999999998</v>
      </c>
      <c r="H12" s="913">
        <f>+'Anexo 2 - ER'!H10</f>
        <v>22206.806</v>
      </c>
      <c r="I12" s="913">
        <f>+'Anexo 2 - ER'!I10</f>
        <v>29757.37</v>
      </c>
      <c r="J12" s="913">
        <f>+'Anexo 2 - ER'!J10</f>
        <v>30200.880000000001</v>
      </c>
      <c r="L12" s="914">
        <f>+L9*(J12/J9)</f>
        <v>36241.056000000004</v>
      </c>
    </row>
    <row r="13" spans="1:14" ht="15.75" thickBot="1">
      <c r="A13" s="912" t="s">
        <v>1028</v>
      </c>
      <c r="B13" s="913">
        <f>+'Anexo 2 - ER'!B12</f>
        <v>10730.967000000001</v>
      </c>
      <c r="C13" s="913">
        <f>+'Anexo 2 - ER'!C12</f>
        <v>11636.29</v>
      </c>
      <c r="D13" s="913">
        <f>+'Anexo 2 - ER'!D12</f>
        <v>12962.379000000001</v>
      </c>
      <c r="E13" s="913">
        <f>+'Anexo 2 - ER'!E12</f>
        <v>12533.063</v>
      </c>
      <c r="F13" s="913">
        <f>+'Anexo 2 - ER'!F12</f>
        <v>12488.513000000001</v>
      </c>
      <c r="G13" s="913">
        <f>+'Anexo 2 - ER'!G12</f>
        <v>13763.71</v>
      </c>
      <c r="H13" s="913">
        <f>+'Anexo 2 - ER'!H12</f>
        <v>15239.585999999999</v>
      </c>
      <c r="I13" s="913">
        <f>+'Anexo 2 - ER'!I12</f>
        <v>16256.97</v>
      </c>
      <c r="J13" s="913">
        <f>+'Anexo 2 - ER'!J12</f>
        <v>18952.78</v>
      </c>
      <c r="L13" s="914">
        <f>+L9*(J13/J9)</f>
        <v>22743.335999999999</v>
      </c>
    </row>
    <row r="14" spans="1:14" ht="15.75" thickBot="1">
      <c r="A14" s="916" t="s">
        <v>477</v>
      </c>
      <c r="B14" s="919">
        <f>+B11-SUM(B12:B13)</f>
        <v>10641.976999999999</v>
      </c>
      <c r="C14" s="919">
        <f t="shared" ref="C14:J14" si="1">+C11-SUM(C12:C13)</f>
        <v>14740.263000000003</v>
      </c>
      <c r="D14" s="919">
        <f t="shared" si="1"/>
        <v>20704.757999999998</v>
      </c>
      <c r="E14" s="919">
        <f t="shared" si="1"/>
        <v>20265.82499999999</v>
      </c>
      <c r="F14" s="919">
        <f t="shared" si="1"/>
        <v>23675.207999999999</v>
      </c>
      <c r="G14" s="919">
        <f t="shared" si="1"/>
        <v>19528.06500000001</v>
      </c>
      <c r="H14" s="919">
        <f t="shared" si="1"/>
        <v>22089.508999999998</v>
      </c>
      <c r="I14" s="919">
        <f t="shared" si="1"/>
        <v>18139.900000000009</v>
      </c>
      <c r="J14" s="919">
        <f t="shared" si="1"/>
        <v>12903.96</v>
      </c>
      <c r="L14" s="920">
        <f>+L11-SUM(L12:L13)</f>
        <v>15484.751999999993</v>
      </c>
    </row>
    <row r="15" spans="1:14" ht="15">
      <c r="A15" s="921" t="s">
        <v>1029</v>
      </c>
      <c r="B15" s="922">
        <f>+'Anexo 2 - ER'!B17</f>
        <v>11216.763000000001</v>
      </c>
      <c r="C15" s="922">
        <f>+'Anexo 2 - ER'!C17</f>
        <v>15307.147999999999</v>
      </c>
      <c r="D15" s="922">
        <f>+'Anexo 2 - ER'!D17</f>
        <v>28760.128000000001</v>
      </c>
      <c r="E15" s="922">
        <f>+'Anexo 2 - ER'!E17</f>
        <v>23005.704000000002</v>
      </c>
      <c r="F15" s="922">
        <f>+'Anexo 2 - ER'!F17</f>
        <v>12255.781000000001</v>
      </c>
      <c r="G15" s="922">
        <f>+'Anexo 2 - ER'!G17</f>
        <v>19736.356</v>
      </c>
      <c r="H15" s="922">
        <f>+'Anexo 2 - ER'!H17</f>
        <v>17457.718000000001</v>
      </c>
      <c r="I15" s="922">
        <f>+'Anexo 2 - ER'!I17</f>
        <v>11521.62</v>
      </c>
      <c r="J15" s="922">
        <f>+'Anexo 2 - ER'!J17</f>
        <v>28394.92</v>
      </c>
      <c r="L15" s="923">
        <f>+J15</f>
        <v>28394.92</v>
      </c>
    </row>
    <row r="16" spans="1:14" ht="15.75" thickBot="1">
      <c r="A16" s="921" t="s">
        <v>1030</v>
      </c>
      <c r="B16" s="922">
        <f>+'Anexo 2 - ER'!B19</f>
        <v>6078.5079999999998</v>
      </c>
      <c r="C16" s="922">
        <f>+'Anexo 2 - ER'!C19</f>
        <v>10019.89</v>
      </c>
      <c r="D16" s="922">
        <f>+'Anexo 2 - ER'!D19</f>
        <v>15119.264999999999</v>
      </c>
      <c r="E16" s="922">
        <f>+'Anexo 2 - ER'!E19</f>
        <v>20300.142</v>
      </c>
      <c r="F16" s="922">
        <f>+'Anexo 2 - ER'!F19</f>
        <v>8266.6290000000008</v>
      </c>
      <c r="G16" s="922">
        <f>+'Anexo 2 - ER'!G19</f>
        <v>10807.315000000001</v>
      </c>
      <c r="H16" s="922">
        <f>+'Anexo 2 - ER'!H19</f>
        <v>15530.805</v>
      </c>
      <c r="I16" s="922">
        <f>+'Anexo 2 - ER'!I19</f>
        <v>6474.93</v>
      </c>
      <c r="J16" s="922">
        <f>+'Anexo 2 - ER'!J19</f>
        <v>16943.89</v>
      </c>
      <c r="L16" s="923">
        <f>+J16</f>
        <v>16943.89</v>
      </c>
    </row>
    <row r="17" spans="1:12" ht="30.75" thickBot="1">
      <c r="A17" s="924" t="s">
        <v>1031</v>
      </c>
      <c r="B17" s="919">
        <f>+B14+B15-B16</f>
        <v>15780.231999999998</v>
      </c>
      <c r="C17" s="919">
        <f t="shared" ref="C17:J17" si="2">+C14+C15-C16</f>
        <v>20027.521000000001</v>
      </c>
      <c r="D17" s="919">
        <f t="shared" si="2"/>
        <v>34345.620999999999</v>
      </c>
      <c r="E17" s="919">
        <f t="shared" si="2"/>
        <v>22971.386999999995</v>
      </c>
      <c r="F17" s="919">
        <f t="shared" si="2"/>
        <v>27664.36</v>
      </c>
      <c r="G17" s="919">
        <f t="shared" si="2"/>
        <v>28457.106000000007</v>
      </c>
      <c r="H17" s="919">
        <f t="shared" si="2"/>
        <v>24016.421999999999</v>
      </c>
      <c r="I17" s="919">
        <f t="shared" si="2"/>
        <v>23186.590000000011</v>
      </c>
      <c r="J17" s="919">
        <f t="shared" si="2"/>
        <v>24354.989999999998</v>
      </c>
      <c r="L17" s="920">
        <f>+L14+L15-L16</f>
        <v>26935.781999999992</v>
      </c>
    </row>
    <row r="18" spans="1:12" ht="15">
      <c r="A18" s="912" t="s">
        <v>1032</v>
      </c>
      <c r="B18" s="913">
        <f>+'Anexo 2 - ER'!B24</f>
        <v>-1894.2840000000001</v>
      </c>
      <c r="C18" s="913">
        <f>+'Anexo 2 - ER'!C24</f>
        <v>0</v>
      </c>
      <c r="D18" s="913">
        <f>+'Anexo 2 - ER'!D24</f>
        <v>0</v>
      </c>
      <c r="E18" s="913">
        <f>+'Anexo 2 - ER'!E24</f>
        <v>0</v>
      </c>
      <c r="F18" s="913">
        <f>+'Anexo 2 - ER'!F24</f>
        <v>0</v>
      </c>
      <c r="G18" s="913">
        <f>+'Anexo 2 - ER'!G24</f>
        <v>0</v>
      </c>
      <c r="H18" s="913">
        <f>+'Anexo 2 - ER'!H24</f>
        <v>0</v>
      </c>
      <c r="I18" s="913">
        <f>+'Anexo 2 - ER'!I24</f>
        <v>0</v>
      </c>
      <c r="J18" s="913">
        <f>+'Anexo 2 - ER'!J24</f>
        <v>0</v>
      </c>
      <c r="L18" s="914"/>
    </row>
    <row r="19" spans="1:12" ht="15.75" thickBot="1">
      <c r="A19" s="912" t="s">
        <v>1033</v>
      </c>
      <c r="B19" s="913">
        <f>+'Anexo 2 - ER'!B25</f>
        <v>4554.8159999999998</v>
      </c>
      <c r="C19" s="913">
        <f>+'Anexo 2 - ER'!C25</f>
        <v>7721.2330000000002</v>
      </c>
      <c r="D19" s="913">
        <f>+'Anexo 2 - ER'!D25</f>
        <v>11405.083000000001</v>
      </c>
      <c r="E19" s="913">
        <f>+'Anexo 2 - ER'!E25</f>
        <v>8982.3680000000004</v>
      </c>
      <c r="F19" s="913">
        <f>+'Anexo 2 - ER'!F25</f>
        <v>9483.6110000000008</v>
      </c>
      <c r="G19" s="913">
        <f>+'Anexo 2 - ER'!G25</f>
        <v>10511.474</v>
      </c>
      <c r="H19" s="913">
        <f>+'Anexo 2 - ER'!H25</f>
        <v>8978.643</v>
      </c>
      <c r="I19" s="913">
        <f>+'Anexo 2 - ER'!I25</f>
        <v>9345.31</v>
      </c>
      <c r="J19" s="913">
        <f>+'Anexo 2 - ER'!J25</f>
        <v>9339.66</v>
      </c>
      <c r="L19" s="914">
        <f>+L17*34%</f>
        <v>9158.1658799999987</v>
      </c>
    </row>
    <row r="20" spans="1:12" ht="15.75" thickBot="1">
      <c r="A20" s="925" t="s">
        <v>1034</v>
      </c>
      <c r="B20" s="926">
        <f>+B17+B18-B19</f>
        <v>9331.1319999999978</v>
      </c>
      <c r="C20" s="926">
        <f t="shared" ref="C20:J20" si="3">+C17+C18-C19</f>
        <v>12306.288</v>
      </c>
      <c r="D20" s="926">
        <f t="shared" si="3"/>
        <v>22940.538</v>
      </c>
      <c r="E20" s="926">
        <f t="shared" si="3"/>
        <v>13989.018999999995</v>
      </c>
      <c r="F20" s="926">
        <f t="shared" si="3"/>
        <v>18180.749</v>
      </c>
      <c r="G20" s="926">
        <f t="shared" si="3"/>
        <v>17945.632000000005</v>
      </c>
      <c r="H20" s="926">
        <f t="shared" si="3"/>
        <v>15037.778999999999</v>
      </c>
      <c r="I20" s="926">
        <f t="shared" si="3"/>
        <v>13841.280000000012</v>
      </c>
      <c r="J20" s="926">
        <f t="shared" si="3"/>
        <v>15015.329999999998</v>
      </c>
      <c r="L20" s="927">
        <f>+L17+L18-L19</f>
        <v>17777.616119999991</v>
      </c>
    </row>
    <row r="21" spans="1:12" ht="15.75" thickBot="1">
      <c r="A21" s="928" t="s">
        <v>1035</v>
      </c>
      <c r="B21" s="929"/>
      <c r="C21" s="929"/>
      <c r="D21" s="929"/>
      <c r="E21" s="929"/>
      <c r="F21" s="929"/>
      <c r="G21" s="929"/>
      <c r="H21" s="929"/>
      <c r="I21" s="929"/>
      <c r="J21" s="929"/>
      <c r="L21" s="930">
        <f>+L20*30%</f>
        <v>5333.2848359999971</v>
      </c>
    </row>
    <row r="22" spans="1:12" ht="15.75" thickBot="1">
      <c r="A22" s="931" t="s">
        <v>1036</v>
      </c>
      <c r="B22" s="932"/>
      <c r="C22" s="932"/>
      <c r="D22" s="932"/>
      <c r="E22" s="932"/>
      <c r="F22" s="932"/>
      <c r="G22" s="932"/>
      <c r="H22" s="932"/>
      <c r="I22" s="932"/>
      <c r="J22" s="932"/>
      <c r="L22" s="933">
        <f>+L20-L21</f>
        <v>12444.331283999994</v>
      </c>
    </row>
    <row r="23" spans="1:12" ht="15">
      <c r="B23" s="955">
        <f>+B20-'Anexo 2 - ER'!B27</f>
        <v>0</v>
      </c>
      <c r="C23" s="955">
        <f>+C20-'Anexo 2 - ER'!C27</f>
        <v>0</v>
      </c>
      <c r="D23" s="955">
        <f>+D20-'Anexo 2 - ER'!D27</f>
        <v>0</v>
      </c>
      <c r="E23" s="955">
        <f>+E20-'Anexo 2 - ER'!E27</f>
        <v>0</v>
      </c>
      <c r="F23" s="955">
        <f>+F20-'Anexo 2 - ER'!F27</f>
        <v>0</v>
      </c>
      <c r="G23" s="955">
        <f>+G20-'Anexo 2 - ER'!G27</f>
        <v>0</v>
      </c>
      <c r="H23" s="955">
        <f>+H20-'Anexo 2 - ER'!H27</f>
        <v>0</v>
      </c>
      <c r="I23" s="955">
        <f>+I20-'Anexo 2 - ER'!I27</f>
        <v>0</v>
      </c>
      <c r="J23" s="955">
        <f>+J20-'Anexo 2 - ER'!J27</f>
        <v>0</v>
      </c>
    </row>
    <row r="24" spans="1:12" ht="15">
      <c r="B24" s="934"/>
      <c r="C24" s="934"/>
      <c r="D24" s="934"/>
      <c r="E24" s="934"/>
      <c r="F24" s="934"/>
      <c r="G24" s="934"/>
      <c r="H24" s="934"/>
      <c r="I24" s="934"/>
      <c r="J24" s="934"/>
    </row>
    <row r="25" spans="1:12" ht="15"/>
    <row r="26" spans="1:12" ht="16.5" thickBot="1">
      <c r="A26" s="1625" t="s">
        <v>1037</v>
      </c>
      <c r="B26" s="1625"/>
      <c r="C26" s="1625"/>
      <c r="D26" s="1625"/>
      <c r="E26" s="1625"/>
      <c r="F26" s="1625"/>
      <c r="G26" s="1625"/>
      <c r="H26" s="1625"/>
      <c r="I26" s="1625"/>
      <c r="J26" s="1625"/>
      <c r="L26" s="903" t="s">
        <v>1023</v>
      </c>
    </row>
    <row r="27" spans="1:12" ht="27" customHeight="1" thickBot="1">
      <c r="A27" s="935" t="s">
        <v>1038</v>
      </c>
      <c r="B27" s="910">
        <f>+B8</f>
        <v>2006</v>
      </c>
      <c r="C27" s="910">
        <f>+C8</f>
        <v>2007</v>
      </c>
      <c r="D27" s="910">
        <f t="shared" ref="D27:J27" si="4">+D8</f>
        <v>2008</v>
      </c>
      <c r="E27" s="910">
        <f t="shared" si="4"/>
        <v>2009</v>
      </c>
      <c r="F27" s="910">
        <f t="shared" si="4"/>
        <v>2010</v>
      </c>
      <c r="G27" s="910">
        <f t="shared" si="4"/>
        <v>2011</v>
      </c>
      <c r="H27" s="910">
        <f t="shared" si="4"/>
        <v>2012</v>
      </c>
      <c r="I27" s="910">
        <f t="shared" si="4"/>
        <v>2013</v>
      </c>
      <c r="J27" s="910">
        <f t="shared" si="4"/>
        <v>2014</v>
      </c>
      <c r="L27" s="907">
        <v>0.2</v>
      </c>
    </row>
    <row r="28" spans="1:12" ht="15">
      <c r="A28" s="936" t="s">
        <v>1039</v>
      </c>
      <c r="B28" s="937">
        <f>+'Anexo 1 - Balance'!B8</f>
        <v>6830.6859999999997</v>
      </c>
      <c r="C28" s="937">
        <f>+'Anexo 1 - Balance'!C8</f>
        <v>6226.7349999999997</v>
      </c>
      <c r="D28" s="937">
        <f>+'Anexo 1 - Balance'!D8</f>
        <v>10449.946</v>
      </c>
      <c r="E28" s="937">
        <f>+'Anexo 1 - Balance'!E8</f>
        <v>8903.0879999999997</v>
      </c>
      <c r="F28" s="937">
        <f>+'Anexo 1 - Balance'!F8</f>
        <v>11296.766</v>
      </c>
      <c r="G28" s="937">
        <f>+'Anexo 1 - Balance'!G8</f>
        <v>7637.2430000000004</v>
      </c>
      <c r="H28" s="937">
        <f>+'Anexo 1 - Balance'!H8</f>
        <v>7760.9030000000002</v>
      </c>
      <c r="I28" s="937">
        <f>+'Anexo 1 - Balance'!I8</f>
        <v>11832</v>
      </c>
      <c r="J28" s="937">
        <f>+'Anexo 1 - Balance'!J8</f>
        <v>7493.665</v>
      </c>
    </row>
    <row r="29" spans="1:12" ht="15">
      <c r="A29" s="938" t="s">
        <v>1040</v>
      </c>
      <c r="B29" s="939">
        <f>+'Anexo 1 - Balance'!B9</f>
        <v>3864.5070000000001</v>
      </c>
      <c r="C29" s="939">
        <f>+'Anexo 1 - Balance'!C9</f>
        <v>4493.3069999999998</v>
      </c>
      <c r="D29" s="939">
        <f>+'Anexo 1 - Balance'!D9</f>
        <v>0</v>
      </c>
      <c r="E29" s="939">
        <f>+'Anexo 1 - Balance'!E9</f>
        <v>0</v>
      </c>
      <c r="F29" s="939">
        <f>+'Anexo 1 - Balance'!F9</f>
        <v>0</v>
      </c>
      <c r="G29" s="939">
        <f>+'Anexo 1 - Balance'!G9</f>
        <v>0</v>
      </c>
      <c r="H29" s="939">
        <f>+'Anexo 1 - Balance'!H9</f>
        <v>0</v>
      </c>
      <c r="I29" s="939">
        <f>+'Anexo 1 - Balance'!I9</f>
        <v>0</v>
      </c>
      <c r="J29" s="939">
        <f>+'Anexo 1 - Balance'!J9</f>
        <v>0</v>
      </c>
    </row>
    <row r="30" spans="1:12" ht="15">
      <c r="A30" s="938" t="s">
        <v>1041</v>
      </c>
      <c r="B30" s="939">
        <f>+'Anexo 1 - Balance'!B31</f>
        <v>51017.307000000001</v>
      </c>
      <c r="C30" s="939">
        <f>+'Anexo 1 - Balance'!C31</f>
        <v>52546.419000000002</v>
      </c>
      <c r="D30" s="939">
        <f>+'Anexo 1 - Balance'!D31</f>
        <v>74267.982000000004</v>
      </c>
      <c r="E30" s="939">
        <f>+'Anexo 1 - Balance'!E31</f>
        <v>29225.924999999999</v>
      </c>
      <c r="F30" s="939">
        <f>+'Anexo 1 - Balance'!F31</f>
        <v>32478.819</v>
      </c>
      <c r="G30" s="939">
        <f>+'Anexo 1 - Balance'!G31</f>
        <v>36059.01</v>
      </c>
      <c r="H30" s="939">
        <f>+'Anexo 1 - Balance'!H31</f>
        <v>38908.821000000004</v>
      </c>
      <c r="I30" s="939">
        <f>+'Anexo 1 - Balance'!I31</f>
        <v>50547</v>
      </c>
      <c r="J30" s="939">
        <f>+'Anexo 1 - Balance'!J31</f>
        <v>78654.81</v>
      </c>
    </row>
    <row r="31" spans="1:12" ht="15">
      <c r="A31" s="938" t="s">
        <v>1042</v>
      </c>
      <c r="B31" s="939">
        <f>+'Anexo 1 - Balance'!B48</f>
        <v>0</v>
      </c>
      <c r="C31" s="939">
        <f>+'Anexo 1 - Balance'!C48</f>
        <v>0</v>
      </c>
      <c r="D31" s="939">
        <f>+'Anexo 1 - Balance'!D48</f>
        <v>0</v>
      </c>
      <c r="E31" s="939">
        <f>+'Anexo 1 - Balance'!E48</f>
        <v>0</v>
      </c>
      <c r="F31" s="939">
        <f>+'Anexo 1 - Balance'!F48</f>
        <v>0</v>
      </c>
      <c r="G31" s="939">
        <f>+'Anexo 1 - Balance'!G48</f>
        <v>0</v>
      </c>
      <c r="H31" s="939">
        <f>+'Anexo 1 - Balance'!H48</f>
        <v>0</v>
      </c>
      <c r="I31" s="939">
        <f>+'Anexo 1 - Balance'!I48</f>
        <v>0</v>
      </c>
      <c r="J31" s="939">
        <f>+'Anexo 1 - Balance'!J48</f>
        <v>0</v>
      </c>
    </row>
    <row r="32" spans="1:12" ht="15.75" thickBot="1">
      <c r="A32" s="938" t="s">
        <v>1043</v>
      </c>
      <c r="B32" s="939">
        <f>+'Anexo 1 - Balance'!B55</f>
        <v>1869.1310000000001</v>
      </c>
      <c r="C32" s="939">
        <f>+'Anexo 1 - Balance'!C55</f>
        <v>1616.4680000000001</v>
      </c>
      <c r="D32" s="939">
        <f>+'Anexo 1 - Balance'!D55</f>
        <v>2495.2939999999999</v>
      </c>
      <c r="E32" s="939">
        <f>+'Anexo 1 - Balance'!E55</f>
        <v>2877.3119999999999</v>
      </c>
      <c r="F32" s="939">
        <f>+'Anexo 1 - Balance'!F55</f>
        <v>2499.5610000000001</v>
      </c>
      <c r="G32" s="939">
        <f>+'Anexo 1 - Balance'!G55</f>
        <v>2881.652</v>
      </c>
      <c r="H32" s="939">
        <f>+'Anexo 1 - Balance'!H55</f>
        <v>3277.19</v>
      </c>
      <c r="I32" s="939">
        <f>+'Anexo 1 - Balance'!I55</f>
        <v>3316</v>
      </c>
      <c r="J32" s="939">
        <f>+'Anexo 1 - Balance'!J55</f>
        <v>3019.8939999999998</v>
      </c>
    </row>
    <row r="33" spans="1:14" ht="15.75" thickBot="1">
      <c r="A33" s="940" t="s">
        <v>730</v>
      </c>
      <c r="B33" s="941">
        <f>SUM(B28:B32)</f>
        <v>63581.631000000001</v>
      </c>
      <c r="C33" s="941">
        <f t="shared" ref="C33:J33" si="5">SUM(C28:C32)</f>
        <v>64882.929000000004</v>
      </c>
      <c r="D33" s="941">
        <f t="shared" si="5"/>
        <v>87213.221999999994</v>
      </c>
      <c r="E33" s="941">
        <f t="shared" si="5"/>
        <v>41006.324999999997</v>
      </c>
      <c r="F33" s="941">
        <f t="shared" si="5"/>
        <v>46275.146000000001</v>
      </c>
      <c r="G33" s="941">
        <f t="shared" si="5"/>
        <v>46577.905000000006</v>
      </c>
      <c r="H33" s="941">
        <f t="shared" si="5"/>
        <v>49946.914000000004</v>
      </c>
      <c r="I33" s="941">
        <f t="shared" si="5"/>
        <v>65695</v>
      </c>
      <c r="J33" s="941">
        <f t="shared" si="5"/>
        <v>89168.368999999992</v>
      </c>
      <c r="L33" s="942">
        <f>J33*(1+L27)</f>
        <v>107002.04279999998</v>
      </c>
    </row>
    <row r="34" spans="1:14" ht="15">
      <c r="A34" s="938" t="s">
        <v>1044</v>
      </c>
      <c r="B34" s="939">
        <f>+'Anexo 1 - Balance'!B57</f>
        <v>312.61200000000002</v>
      </c>
      <c r="C34" s="939">
        <f>+'Anexo 1 - Balance'!C57</f>
        <v>247.46</v>
      </c>
      <c r="D34" s="939">
        <f>+'Anexo 1 - Balance'!D57</f>
        <v>144.49199999999999</v>
      </c>
      <c r="E34" s="939">
        <f>+'Anexo 1 - Balance'!E57</f>
        <v>144.49199999999999</v>
      </c>
      <c r="F34" s="939">
        <f>+'Anexo 1 - Balance'!F57</f>
        <v>143.49199999999999</v>
      </c>
      <c r="G34" s="939">
        <f>+'Anexo 1 - Balance'!G57</f>
        <v>143.49199999999999</v>
      </c>
      <c r="H34" s="939">
        <f>+'Anexo 1 - Balance'!H57</f>
        <v>143.49199999999999</v>
      </c>
      <c r="I34" s="939">
        <f>+'Anexo 1 - Balance'!I57</f>
        <v>106</v>
      </c>
      <c r="J34" s="939">
        <f>+'Anexo 1 - Balance'!J57</f>
        <v>400</v>
      </c>
    </row>
    <row r="35" spans="1:14" ht="15">
      <c r="A35" s="938" t="s">
        <v>1045</v>
      </c>
      <c r="B35" s="939">
        <f>+'Anexo 1 - Balance'!B79</f>
        <v>5716.8379999999997</v>
      </c>
      <c r="C35" s="939">
        <f>+'Anexo 1 - Balance'!C79</f>
        <v>5989.8280000000004</v>
      </c>
      <c r="D35" s="939">
        <f>+'Anexo 1 - Balance'!D79</f>
        <v>4972.7250000000004</v>
      </c>
      <c r="E35" s="939">
        <f>+'Anexo 1 - Balance'!E79</f>
        <v>4839.6000000000004</v>
      </c>
      <c r="F35" s="939">
        <f>+'Anexo 1 - Balance'!F79</f>
        <v>4343.4449999999997</v>
      </c>
      <c r="G35" s="939">
        <f>+'Anexo 1 - Balance'!G79</f>
        <v>3838.8989999999999</v>
      </c>
      <c r="H35" s="939">
        <f>+'Anexo 1 - Balance'!H79</f>
        <v>3584.5630000000001</v>
      </c>
      <c r="I35" s="939">
        <f>+'Anexo 1 - Balance'!I79</f>
        <v>4307</v>
      </c>
      <c r="J35" s="939">
        <f>+'Anexo 1 - Balance'!J79</f>
        <v>3245.2919999999999</v>
      </c>
    </row>
    <row r="36" spans="1:14" ht="15">
      <c r="A36" s="938" t="s">
        <v>1046</v>
      </c>
      <c r="B36" s="939">
        <f>+'Anexo 1 - Balance'!B89</f>
        <v>0</v>
      </c>
      <c r="C36" s="939">
        <f>+'Anexo 1 - Balance'!C89</f>
        <v>0</v>
      </c>
      <c r="D36" s="939">
        <f>+'Anexo 1 - Balance'!D89</f>
        <v>0</v>
      </c>
      <c r="E36" s="939">
        <f>+'Anexo 1 - Balance'!E89</f>
        <v>0</v>
      </c>
      <c r="F36" s="939">
        <f>+'Anexo 1 - Balance'!F89</f>
        <v>0</v>
      </c>
      <c r="G36" s="939">
        <f>+'Anexo 1 - Balance'!G89</f>
        <v>0</v>
      </c>
      <c r="H36" s="939">
        <f>+'Anexo 1 - Balance'!H89</f>
        <v>0</v>
      </c>
      <c r="I36" s="939">
        <f>+'Anexo 1 - Balance'!I89</f>
        <v>1244</v>
      </c>
      <c r="J36" s="939">
        <f>+'Anexo 1 - Balance'!J89</f>
        <v>1124.2070000000001</v>
      </c>
    </row>
    <row r="37" spans="1:14" ht="15">
      <c r="A37" s="938" t="s">
        <v>1047</v>
      </c>
      <c r="B37" s="939">
        <f>+'Anexo 1 - Balance'!B96</f>
        <v>3070.529</v>
      </c>
      <c r="C37" s="939">
        <f>+'Anexo 1 - Balance'!C96</f>
        <v>2908.1219999999998</v>
      </c>
      <c r="D37" s="939">
        <f>+'Anexo 1 - Balance'!D96</f>
        <v>1709.479</v>
      </c>
      <c r="E37" s="939">
        <f>+'Anexo 1 - Balance'!E96</f>
        <v>613.66</v>
      </c>
      <c r="F37" s="939">
        <f>+'Anexo 1 - Balance'!F96</f>
        <v>337.80900000000003</v>
      </c>
      <c r="G37" s="939">
        <f>+'Anexo 1 - Balance'!G96</f>
        <v>319.20600000000002</v>
      </c>
      <c r="H37" s="939">
        <f>+'Anexo 1 - Balance'!H96</f>
        <v>296.31700000000001</v>
      </c>
      <c r="I37" s="939">
        <f>+'Anexo 1 - Balance'!I96</f>
        <v>784</v>
      </c>
      <c r="J37" s="939">
        <f>+'Anexo 1 - Balance'!J96</f>
        <v>790.61599999999999</v>
      </c>
    </row>
    <row r="38" spans="1:14" ht="15">
      <c r="A38" s="938" t="s">
        <v>1048</v>
      </c>
      <c r="B38" s="939">
        <f>+'Anexo 1 - Balance'!B78+'Anexo 1 - Balance'!B100</f>
        <v>1291.126</v>
      </c>
      <c r="C38" s="939">
        <f>+'Anexo 1 - Balance'!C78+'Anexo 1 - Balance'!C100</f>
        <v>1158.68</v>
      </c>
      <c r="D38" s="939">
        <f>+'Anexo 1 - Balance'!D78+'Anexo 1 - Balance'!D100</f>
        <v>1479.6279999999999</v>
      </c>
      <c r="E38" s="939">
        <f>+'Anexo 1 - Balance'!E78+'Anexo 1 - Balance'!E100</f>
        <v>50494.01</v>
      </c>
      <c r="F38" s="939">
        <f>+'Anexo 1 - Balance'!F78+'Anexo 1 - Balance'!F100</f>
        <v>50725.718999999997</v>
      </c>
      <c r="G38" s="939">
        <f>+'Anexo 1 - Balance'!G78+'Anexo 1 - Balance'!G100</f>
        <v>55551.152999999998</v>
      </c>
      <c r="H38" s="939">
        <f>+'Anexo 1 - Balance'!H78+'Anexo 1 - Balance'!H100</f>
        <v>2450.433</v>
      </c>
      <c r="I38" s="939">
        <f>+'Anexo 1 - Balance'!I78+'Anexo 1 - Balance'!I100</f>
        <v>2493</v>
      </c>
      <c r="J38" s="939">
        <f>+'Anexo 1 - Balance'!J78+'Anexo 1 - Balance'!J100</f>
        <v>2458.8049999999998</v>
      </c>
    </row>
    <row r="39" spans="1:14" ht="15.75" thickBot="1">
      <c r="A39" s="938" t="s">
        <v>1049</v>
      </c>
      <c r="B39" s="939">
        <f>+'Anexo 1 - Balance'!B104</f>
        <v>31.98</v>
      </c>
      <c r="C39" s="939">
        <f>+'Anexo 1 - Balance'!C104</f>
        <v>97.518000000000001</v>
      </c>
      <c r="D39" s="939">
        <f>+'Anexo 1 - Balance'!D104</f>
        <v>30.131</v>
      </c>
      <c r="E39" s="939">
        <f>+'Anexo 1 - Balance'!E104</f>
        <v>50.75</v>
      </c>
      <c r="F39" s="939">
        <f>+'Anexo 1 - Balance'!F104</f>
        <v>0</v>
      </c>
      <c r="G39" s="939">
        <f>+'Anexo 1 - Balance'!G104</f>
        <v>0</v>
      </c>
      <c r="H39" s="939">
        <f>+'Anexo 1 - Balance'!H104</f>
        <v>0</v>
      </c>
      <c r="I39" s="939">
        <f>+'Anexo 1 - Balance'!I104</f>
        <v>0</v>
      </c>
      <c r="J39" s="939">
        <f>+'Anexo 1 - Balance'!J104</f>
        <v>0</v>
      </c>
    </row>
    <row r="40" spans="1:14" ht="15.75" thickBot="1">
      <c r="A40" s="940" t="s">
        <v>776</v>
      </c>
      <c r="B40" s="941">
        <f>SUM(B34:B39)</f>
        <v>10423.084999999999</v>
      </c>
      <c r="C40" s="941">
        <f t="shared" ref="C40:J40" si="6">SUM(C34:C39)</f>
        <v>10401.608</v>
      </c>
      <c r="D40" s="941">
        <f t="shared" si="6"/>
        <v>8336.4549999999999</v>
      </c>
      <c r="E40" s="941">
        <f t="shared" si="6"/>
        <v>56142.512000000002</v>
      </c>
      <c r="F40" s="941">
        <f t="shared" si="6"/>
        <v>55550.464999999997</v>
      </c>
      <c r="G40" s="941">
        <f t="shared" si="6"/>
        <v>59852.75</v>
      </c>
      <c r="H40" s="941">
        <f t="shared" si="6"/>
        <v>6474.8050000000003</v>
      </c>
      <c r="I40" s="941">
        <f t="shared" si="6"/>
        <v>8934</v>
      </c>
      <c r="J40" s="941">
        <f t="shared" si="6"/>
        <v>8018.92</v>
      </c>
      <c r="K40" s="62"/>
      <c r="L40" s="943">
        <f>+J40</f>
        <v>8018.92</v>
      </c>
    </row>
    <row r="41" spans="1:14" ht="15.75" thickBot="1">
      <c r="A41" s="944" t="s">
        <v>346</v>
      </c>
      <c r="B41" s="945">
        <f>+B33+B40</f>
        <v>74004.716</v>
      </c>
      <c r="C41" s="945">
        <f t="shared" ref="C41:L41" si="7">+C33+C40</f>
        <v>75284.537000000011</v>
      </c>
      <c r="D41" s="945">
        <f t="shared" si="7"/>
        <v>95549.676999999996</v>
      </c>
      <c r="E41" s="945">
        <f t="shared" si="7"/>
        <v>97148.837</v>
      </c>
      <c r="F41" s="945">
        <f t="shared" si="7"/>
        <v>101825.611</v>
      </c>
      <c r="G41" s="945">
        <f t="shared" si="7"/>
        <v>106430.655</v>
      </c>
      <c r="H41" s="945">
        <f t="shared" si="7"/>
        <v>56421.719000000005</v>
      </c>
      <c r="I41" s="945">
        <f t="shared" si="7"/>
        <v>74629</v>
      </c>
      <c r="J41" s="945">
        <f t="shared" si="7"/>
        <v>97187.28899999999</v>
      </c>
      <c r="L41" s="945">
        <f t="shared" si="7"/>
        <v>115020.96279999998</v>
      </c>
    </row>
    <row r="42" spans="1:14" ht="15">
      <c r="A42" s="938" t="s">
        <v>1050</v>
      </c>
      <c r="B42" s="939">
        <f>+'Anexo 1 - Balance'!B107</f>
        <v>0</v>
      </c>
      <c r="C42" s="939">
        <f>+'Anexo 1 - Balance'!C107</f>
        <v>0</v>
      </c>
      <c r="D42" s="939">
        <f>+'Anexo 1 - Balance'!D107</f>
        <v>0</v>
      </c>
      <c r="E42" s="939">
        <f>+'Anexo 1 - Balance'!E107</f>
        <v>0</v>
      </c>
      <c r="F42" s="939">
        <f>+'Anexo 1 - Balance'!F107</f>
        <v>0</v>
      </c>
      <c r="G42" s="939">
        <f>+'Anexo 1 - Balance'!G107</f>
        <v>0</v>
      </c>
      <c r="H42" s="939">
        <f>+'Anexo 1 - Balance'!H107</f>
        <v>0</v>
      </c>
      <c r="I42" s="939">
        <f>+'Anexo 1 - Balance'!I107</f>
        <v>0</v>
      </c>
      <c r="J42" s="939">
        <f>+'Anexo 1 - Balance'!J107</f>
        <v>0</v>
      </c>
    </row>
    <row r="43" spans="1:14" ht="15">
      <c r="A43" s="938" t="s">
        <v>1051</v>
      </c>
      <c r="B43" s="939">
        <f>+'Anexo 1 - Balance'!B108</f>
        <v>1292.999</v>
      </c>
      <c r="C43" s="939">
        <f>+'Anexo 1 - Balance'!C108</f>
        <v>1925.1479999999999</v>
      </c>
      <c r="D43" s="939">
        <f>+'Anexo 1 - Balance'!D108</f>
        <v>1173.1849999999999</v>
      </c>
      <c r="E43" s="939">
        <f>+'Anexo 1 - Balance'!E108</f>
        <v>1164.989</v>
      </c>
      <c r="F43" s="939">
        <f>+'Anexo 1 - Balance'!F108</f>
        <v>1120.731</v>
      </c>
      <c r="G43" s="939">
        <f>+'Anexo 1 - Balance'!G108</f>
        <v>1028.635</v>
      </c>
      <c r="H43" s="939">
        <f>+'Anexo 1 - Balance'!H108</f>
        <v>1871.0920000000001</v>
      </c>
      <c r="I43" s="939">
        <f>+'Anexo 1 - Balance'!I108</f>
        <v>3811</v>
      </c>
      <c r="J43" s="939">
        <f>+'Anexo 1 - Balance'!J108</f>
        <v>3100.7890000000002</v>
      </c>
      <c r="N43" s="946" t="s">
        <v>710</v>
      </c>
    </row>
    <row r="44" spans="1:14" ht="15">
      <c r="A44" s="938" t="s">
        <v>1052</v>
      </c>
      <c r="B44" s="939">
        <f>+'Anexo 1 - Balance'!B127</f>
        <v>3021.3969999999999</v>
      </c>
      <c r="C44" s="939">
        <f>+'Anexo 1 - Balance'!C127</f>
        <v>3203.2130000000002</v>
      </c>
      <c r="D44" s="939">
        <f>+'Anexo 1 - Balance'!D127</f>
        <v>4028.9479999999999</v>
      </c>
      <c r="E44" s="939">
        <f>+'Anexo 1 - Balance'!E127</f>
        <v>4756.0510000000004</v>
      </c>
      <c r="F44" s="939">
        <f>+'Anexo 1 - Balance'!F127</f>
        <v>19011.383000000002</v>
      </c>
      <c r="G44" s="939">
        <f>+'Anexo 1 - Balance'!G127</f>
        <v>18790.452000000001</v>
      </c>
      <c r="H44" s="939">
        <f>+'Anexo 1 - Balance'!H127</f>
        <v>6157.18</v>
      </c>
      <c r="I44" s="939">
        <f>+'Anexo 1 - Balance'!I127</f>
        <v>23456</v>
      </c>
      <c r="J44" s="939">
        <f>+'Anexo 1 - Balance'!J127</f>
        <v>46494.622000000003</v>
      </c>
    </row>
    <row r="45" spans="1:14" ht="15">
      <c r="A45" s="938" t="s">
        <v>1053</v>
      </c>
      <c r="B45" s="939">
        <f>+'Anexo 1 - Balance'!B128</f>
        <v>1991.4949999999999</v>
      </c>
      <c r="C45" s="939">
        <f>+'Anexo 1 - Balance'!C128</f>
        <v>2734.1559999999999</v>
      </c>
      <c r="D45" s="939">
        <f>+'Anexo 1 - Balance'!D128</f>
        <v>6733.8</v>
      </c>
      <c r="E45" s="939">
        <f>+'Anexo 1 - Balance'!E128</f>
        <v>3592.4949999999999</v>
      </c>
      <c r="F45" s="939">
        <f>+'Anexo 1 - Balance'!F128</f>
        <v>3579.42</v>
      </c>
      <c r="G45" s="939">
        <f>+'Anexo 1 - Balance'!G128</f>
        <v>3865.991</v>
      </c>
      <c r="H45" s="939">
        <f>+'Anexo 1 - Balance'!H128</f>
        <v>4070.431</v>
      </c>
      <c r="I45" s="939">
        <f>+'Anexo 1 - Balance'!I128</f>
        <v>4336</v>
      </c>
      <c r="J45" s="939">
        <f>+'Anexo 1 - Balance'!J128</f>
        <v>5001.5959999999995</v>
      </c>
    </row>
    <row r="46" spans="1:14" ht="15">
      <c r="A46" s="938" t="s">
        <v>1054</v>
      </c>
      <c r="B46" s="939">
        <f>+'Anexo 1 - Balance'!B129</f>
        <v>2072.5230000000001</v>
      </c>
      <c r="C46" s="939">
        <f>+'Anexo 1 - Balance'!C129</f>
        <v>2162.9569999999999</v>
      </c>
      <c r="D46" s="939">
        <f>+'Anexo 1 - Balance'!D129</f>
        <v>2466.0500000000002</v>
      </c>
      <c r="E46" s="939">
        <f>+'Anexo 1 - Balance'!E129</f>
        <v>2866.3739999999998</v>
      </c>
      <c r="F46" s="939">
        <f>+'Anexo 1 - Balance'!F129</f>
        <v>3009.8159999999998</v>
      </c>
      <c r="G46" s="939">
        <f>+'Anexo 1 - Balance'!G129</f>
        <v>3144.3380000000002</v>
      </c>
      <c r="H46" s="939">
        <f>+'Anexo 1 - Balance'!H129</f>
        <v>3301.1880000000001</v>
      </c>
      <c r="I46" s="939">
        <f>+'Anexo 1 - Balance'!I129</f>
        <v>3760</v>
      </c>
      <c r="J46" s="939">
        <f>+'Anexo 1 - Balance'!J129</f>
        <v>4072.259</v>
      </c>
    </row>
    <row r="47" spans="1:14" ht="15">
      <c r="A47" s="938" t="s">
        <v>1055</v>
      </c>
      <c r="B47" s="939">
        <f>+'Anexo 1 - Balance'!B139</f>
        <v>3818.7040000000002</v>
      </c>
      <c r="C47" s="939">
        <f>+'Anexo 1 - Balance'!C139</f>
        <v>4682.5680000000002</v>
      </c>
      <c r="D47" s="939">
        <f>+'Anexo 1 - Balance'!D139</f>
        <v>5600.3770000000004</v>
      </c>
      <c r="E47" s="939">
        <f>+'Anexo 1 - Balance'!E139</f>
        <v>6581.3789999999999</v>
      </c>
      <c r="F47" s="939">
        <f>+'Anexo 1 - Balance'!F139</f>
        <v>6445.9440000000004</v>
      </c>
      <c r="G47" s="939">
        <f>+'Anexo 1 - Balance'!G139</f>
        <v>7701.1189999999997</v>
      </c>
      <c r="H47" s="939">
        <f>+'Anexo 1 - Balance'!H139</f>
        <v>7019.6139999999996</v>
      </c>
      <c r="I47" s="939">
        <f>+'Anexo 1 - Balance'!I139</f>
        <v>7994</v>
      </c>
      <c r="J47" s="939">
        <f>+'Anexo 1 - Balance'!J139</f>
        <v>6345.9559999999992</v>
      </c>
    </row>
    <row r="48" spans="1:14" ht="15">
      <c r="A48" s="938" t="s">
        <v>1056</v>
      </c>
      <c r="B48" s="939">
        <f>+'Anexo 1 - Balance'!B140</f>
        <v>2727.527</v>
      </c>
      <c r="C48" s="939">
        <f>+'Anexo 1 - Balance'!C140</f>
        <v>2877.62</v>
      </c>
      <c r="D48" s="939">
        <f>+'Anexo 1 - Balance'!D140</f>
        <v>1977.67</v>
      </c>
      <c r="E48" s="939">
        <f>+'Anexo 1 - Balance'!E140</f>
        <v>2385.5329999999999</v>
      </c>
      <c r="F48" s="939">
        <f>+'Anexo 1 - Balance'!F140</f>
        <v>3556.047</v>
      </c>
      <c r="G48" s="939">
        <f>+'Anexo 1 - Balance'!G140</f>
        <v>2015.712</v>
      </c>
      <c r="H48" s="939">
        <f>+'Anexo 1 - Balance'!H140</f>
        <v>1469.944</v>
      </c>
      <c r="I48" s="939">
        <f>+'Anexo 1 - Balance'!I140</f>
        <v>929</v>
      </c>
      <c r="J48" s="939">
        <f>+'Anexo 1 - Balance'!J140</f>
        <v>938.81399999999996</v>
      </c>
    </row>
    <row r="49" spans="1:12" ht="15.75" thickBot="1">
      <c r="A49" s="938" t="s">
        <v>1057</v>
      </c>
      <c r="B49" s="939">
        <f>+'Anexo 1 - Balance'!B150</f>
        <v>0</v>
      </c>
      <c r="C49" s="939">
        <f>+'Anexo 1 - Balance'!C150</f>
        <v>0</v>
      </c>
      <c r="D49" s="939">
        <f>+'Anexo 1 - Balance'!D150</f>
        <v>0</v>
      </c>
      <c r="E49" s="939">
        <f>+'Anexo 1 - Balance'!E150</f>
        <v>0</v>
      </c>
      <c r="F49" s="939">
        <f>+'Anexo 1 - Balance'!F150</f>
        <v>0</v>
      </c>
      <c r="G49" s="939">
        <f>+'Anexo 1 - Balance'!G150</f>
        <v>0</v>
      </c>
      <c r="H49" s="939">
        <f>+'Anexo 1 - Balance'!H150</f>
        <v>0</v>
      </c>
      <c r="I49" s="939">
        <f>+'Anexo 1 - Balance'!I150</f>
        <v>0</v>
      </c>
      <c r="J49" s="939">
        <f>+'Anexo 1 - Balance'!J150</f>
        <v>0</v>
      </c>
    </row>
    <row r="50" spans="1:12" ht="15.75" thickBot="1">
      <c r="A50" s="940" t="s">
        <v>786</v>
      </c>
      <c r="B50" s="941">
        <f>SUM(B42:B49)</f>
        <v>14924.645</v>
      </c>
      <c r="C50" s="941">
        <f t="shared" ref="C50:J50" si="8">SUM(C42:C49)</f>
        <v>17585.662</v>
      </c>
      <c r="D50" s="941">
        <f t="shared" si="8"/>
        <v>21980.03</v>
      </c>
      <c r="E50" s="941">
        <f t="shared" si="8"/>
        <v>21346.821</v>
      </c>
      <c r="F50" s="941">
        <f t="shared" si="8"/>
        <v>36723.341</v>
      </c>
      <c r="G50" s="941">
        <f t="shared" si="8"/>
        <v>36546.247000000003</v>
      </c>
      <c r="H50" s="941">
        <f t="shared" si="8"/>
        <v>23889.449000000001</v>
      </c>
      <c r="I50" s="941">
        <f t="shared" si="8"/>
        <v>44286</v>
      </c>
      <c r="J50" s="941">
        <f t="shared" si="8"/>
        <v>65954.035999999993</v>
      </c>
      <c r="L50" s="943">
        <f>+J50</f>
        <v>65954.035999999993</v>
      </c>
    </row>
    <row r="51" spans="1:12" ht="15">
      <c r="A51" s="938" t="s">
        <v>1058</v>
      </c>
      <c r="B51" s="939">
        <f>+'Anexo 1 - Balance'!B158</f>
        <v>0</v>
      </c>
      <c r="C51" s="939">
        <f>+'Anexo 1 - Balance'!C158</f>
        <v>0</v>
      </c>
      <c r="D51" s="939">
        <f>+'Anexo 1 - Balance'!D158</f>
        <v>0</v>
      </c>
      <c r="E51" s="939">
        <f>+'Anexo 1 - Balance'!E158</f>
        <v>0</v>
      </c>
      <c r="F51" s="939">
        <f>+'Anexo 1 - Balance'!F158</f>
        <v>0</v>
      </c>
      <c r="G51" s="939">
        <f>+'Anexo 1 - Balance'!G158</f>
        <v>0</v>
      </c>
      <c r="H51" s="939">
        <f>+'Anexo 1 - Balance'!H158</f>
        <v>0</v>
      </c>
      <c r="I51" s="939">
        <f>+'Anexo 1 - Balance'!I158</f>
        <v>0</v>
      </c>
      <c r="J51" s="939">
        <f>+'Anexo 1 - Balance'!J158</f>
        <v>0</v>
      </c>
    </row>
    <row r="52" spans="1:12" ht="15">
      <c r="A52" s="938" t="s">
        <v>1059</v>
      </c>
      <c r="B52" s="939">
        <f>+'Anexo 1 - Balance'!B159</f>
        <v>0</v>
      </c>
      <c r="C52" s="939">
        <f>+'Anexo 1 - Balance'!C159</f>
        <v>0</v>
      </c>
      <c r="D52" s="939">
        <f>+'Anexo 1 - Balance'!D159</f>
        <v>0</v>
      </c>
      <c r="E52" s="939">
        <f>+'Anexo 1 - Balance'!E159</f>
        <v>0</v>
      </c>
      <c r="F52" s="939">
        <f>+'Anexo 1 - Balance'!F159</f>
        <v>0</v>
      </c>
      <c r="G52" s="939">
        <f>+'Anexo 1 - Balance'!G159</f>
        <v>0</v>
      </c>
      <c r="H52" s="939">
        <f>+'Anexo 1 - Balance'!H159</f>
        <v>0</v>
      </c>
      <c r="I52" s="939">
        <f>+'Anexo 1 - Balance'!I159</f>
        <v>0</v>
      </c>
      <c r="J52" s="939">
        <f>+'Anexo 1 - Balance'!J159</f>
        <v>0</v>
      </c>
    </row>
    <row r="53" spans="1:12" ht="15">
      <c r="A53" s="938" t="s">
        <v>1060</v>
      </c>
      <c r="B53" s="939">
        <f>+'Anexo 1 - Balance'!B172</f>
        <v>0</v>
      </c>
      <c r="C53" s="939">
        <f>+'Anexo 1 - Balance'!C172</f>
        <v>0</v>
      </c>
      <c r="D53" s="939">
        <f>+'Anexo 1 - Balance'!D172</f>
        <v>0</v>
      </c>
      <c r="E53" s="939">
        <f>+'Anexo 1 - Balance'!E172</f>
        <v>0</v>
      </c>
      <c r="F53" s="939">
        <f>+'Anexo 1 - Balance'!F172</f>
        <v>0</v>
      </c>
      <c r="G53" s="939">
        <f>+'Anexo 1 - Balance'!G172</f>
        <v>0</v>
      </c>
      <c r="H53" s="939">
        <f>+'Anexo 1 - Balance'!H172</f>
        <v>0</v>
      </c>
      <c r="I53" s="939">
        <f>+'Anexo 1 - Balance'!I172</f>
        <v>283</v>
      </c>
      <c r="J53" s="939">
        <f>+'Anexo 1 - Balance'!J172</f>
        <v>0</v>
      </c>
    </row>
    <row r="54" spans="1:12" ht="15">
      <c r="A54" s="938" t="s">
        <v>1061</v>
      </c>
      <c r="B54" s="939">
        <f>+'Anexo 1 - Balance'!B173</f>
        <v>0</v>
      </c>
      <c r="C54" s="939">
        <f>+'Anexo 1 - Balance'!C173</f>
        <v>0</v>
      </c>
      <c r="D54" s="939">
        <f>+'Anexo 1 - Balance'!D173</f>
        <v>0</v>
      </c>
      <c r="E54" s="939">
        <f>+'Anexo 1 - Balance'!E173</f>
        <v>0</v>
      </c>
      <c r="F54" s="939">
        <f>+'Anexo 1 - Balance'!F173</f>
        <v>0</v>
      </c>
      <c r="G54" s="939">
        <f>+'Anexo 1 - Balance'!G173</f>
        <v>0</v>
      </c>
      <c r="H54" s="939">
        <f>+'Anexo 1 - Balance'!H173</f>
        <v>1276.5730000000001</v>
      </c>
      <c r="I54" s="939">
        <f>+'Anexo 1 - Balance'!I173</f>
        <v>0</v>
      </c>
      <c r="J54" s="939">
        <f>+'Anexo 1 - Balance'!J173</f>
        <v>0</v>
      </c>
    </row>
    <row r="55" spans="1:12" ht="15">
      <c r="A55" s="938" t="s">
        <v>1062</v>
      </c>
      <c r="B55" s="939">
        <f>+'Anexo 1 - Balance'!B174</f>
        <v>0</v>
      </c>
      <c r="C55" s="939">
        <f>+'Anexo 1 - Balance'!C174</f>
        <v>0</v>
      </c>
      <c r="D55" s="939">
        <f>+'Anexo 1 - Balance'!D174</f>
        <v>0</v>
      </c>
      <c r="E55" s="939">
        <f>+'Anexo 1 - Balance'!E174</f>
        <v>0</v>
      </c>
      <c r="F55" s="939">
        <f>+'Anexo 1 - Balance'!F174</f>
        <v>0</v>
      </c>
      <c r="G55" s="939">
        <f>+'Anexo 1 - Balance'!G174</f>
        <v>0</v>
      </c>
      <c r="H55" s="939">
        <f>+'Anexo 1 - Balance'!H174</f>
        <v>0</v>
      </c>
      <c r="I55" s="939">
        <f>+'Anexo 1 - Balance'!I174</f>
        <v>0</v>
      </c>
      <c r="J55" s="939">
        <f>+'Anexo 1 - Balance'!J174</f>
        <v>0</v>
      </c>
    </row>
    <row r="56" spans="1:12" ht="15.75" thickBot="1">
      <c r="A56" s="938" t="s">
        <v>1063</v>
      </c>
      <c r="B56" s="939">
        <f>+'Anexo 1 - Balance'!B189</f>
        <v>0</v>
      </c>
      <c r="C56" s="939">
        <f>+'Anexo 1 - Balance'!C189</f>
        <v>0</v>
      </c>
      <c r="D56" s="939">
        <f>+'Anexo 1 - Balance'!D189</f>
        <v>0</v>
      </c>
      <c r="E56" s="939">
        <f>+'Anexo 1 - Balance'!E189</f>
        <v>0</v>
      </c>
      <c r="F56" s="939">
        <f>+'Anexo 1 - Balance'!F189</f>
        <v>0</v>
      </c>
      <c r="G56" s="939">
        <f>+'Anexo 1 - Balance'!G189</f>
        <v>0</v>
      </c>
      <c r="H56" s="939">
        <f>+'Anexo 1 - Balance'!H189</f>
        <v>0</v>
      </c>
      <c r="I56" s="939">
        <f>+'Anexo 1 - Balance'!I189</f>
        <v>0</v>
      </c>
      <c r="J56" s="939">
        <f>+'Anexo 1 - Balance'!J189</f>
        <v>0</v>
      </c>
    </row>
    <row r="57" spans="1:12" ht="15.75" thickBot="1">
      <c r="A57" s="940" t="s">
        <v>828</v>
      </c>
      <c r="B57" s="941">
        <f>SUM(B51:B56)</f>
        <v>0</v>
      </c>
      <c r="C57" s="941">
        <f t="shared" ref="C57:J57" si="9">SUM(C51:C56)</f>
        <v>0</v>
      </c>
      <c r="D57" s="941">
        <f t="shared" si="9"/>
        <v>0</v>
      </c>
      <c r="E57" s="941">
        <f t="shared" si="9"/>
        <v>0</v>
      </c>
      <c r="F57" s="941">
        <f t="shared" si="9"/>
        <v>0</v>
      </c>
      <c r="G57" s="941">
        <f t="shared" si="9"/>
        <v>0</v>
      </c>
      <c r="H57" s="941">
        <f t="shared" si="9"/>
        <v>1276.5730000000001</v>
      </c>
      <c r="I57" s="941">
        <f t="shared" si="9"/>
        <v>283</v>
      </c>
      <c r="J57" s="941">
        <f t="shared" si="9"/>
        <v>0</v>
      </c>
      <c r="L57" s="941">
        <f>+J57</f>
        <v>0</v>
      </c>
    </row>
    <row r="58" spans="1:12" ht="15.75" thickBot="1">
      <c r="A58" s="947" t="s">
        <v>63</v>
      </c>
      <c r="B58" s="948">
        <f>+B50+B57</f>
        <v>14924.645</v>
      </c>
      <c r="C58" s="948">
        <f t="shared" ref="C58:I58" si="10">+C50+C57</f>
        <v>17585.662</v>
      </c>
      <c r="D58" s="948">
        <f t="shared" si="10"/>
        <v>21980.03</v>
      </c>
      <c r="E58" s="948">
        <f t="shared" si="10"/>
        <v>21346.821</v>
      </c>
      <c r="F58" s="948">
        <f t="shared" si="10"/>
        <v>36723.341</v>
      </c>
      <c r="G58" s="948">
        <f t="shared" si="10"/>
        <v>36546.247000000003</v>
      </c>
      <c r="H58" s="948">
        <f t="shared" si="10"/>
        <v>25166.022000000001</v>
      </c>
      <c r="I58" s="948">
        <f t="shared" si="10"/>
        <v>44569</v>
      </c>
      <c r="J58" s="948">
        <f>+J50+J57</f>
        <v>65954.035999999993</v>
      </c>
      <c r="L58" s="948">
        <f>+L50+L57</f>
        <v>65954.035999999993</v>
      </c>
    </row>
    <row r="59" spans="1:12" ht="15">
      <c r="A59" s="938" t="s">
        <v>1064</v>
      </c>
      <c r="B59" s="939">
        <f>+'Anexo 1 - Balance'!B214</f>
        <v>7699.7690000000002</v>
      </c>
      <c r="C59" s="939">
        <f>+'Anexo 1 - Balance'!C214</f>
        <v>7699.7690000000002</v>
      </c>
      <c r="D59" s="939">
        <f>+'Anexo 1 - Balance'!D214</f>
        <v>7699.7690000000002</v>
      </c>
      <c r="E59" s="939">
        <f>+'Anexo 1 - Balance'!E214</f>
        <v>7699.7690000000002</v>
      </c>
      <c r="F59" s="939">
        <f>+'Anexo 1 - Balance'!F214</f>
        <v>7699.7690000000002</v>
      </c>
      <c r="G59" s="939">
        <f>+'Anexo 1 - Balance'!G214</f>
        <v>7699.7690000000002</v>
      </c>
      <c r="H59" s="939">
        <f>+'Anexo 1 - Balance'!H214</f>
        <v>7699.7690000000002</v>
      </c>
      <c r="I59" s="939">
        <f>+'Anexo 1 - Balance'!I214</f>
        <v>7700</v>
      </c>
      <c r="J59" s="939">
        <f>+'Anexo 1 - Balance'!J214</f>
        <v>7699.7690000000002</v>
      </c>
    </row>
    <row r="60" spans="1:12" ht="15">
      <c r="A60" s="938" t="s">
        <v>1065</v>
      </c>
      <c r="B60" s="939">
        <f>+'Anexo 1 - Balance'!B220</f>
        <v>0</v>
      </c>
      <c r="C60" s="939">
        <f>+'Anexo 1 - Balance'!C220</f>
        <v>0</v>
      </c>
      <c r="D60" s="939">
        <f>+'Anexo 1 - Balance'!D220</f>
        <v>0</v>
      </c>
      <c r="E60" s="939">
        <f>+'Anexo 1 - Balance'!E220</f>
        <v>0</v>
      </c>
      <c r="F60" s="939">
        <f>+'Anexo 1 - Balance'!F220</f>
        <v>0</v>
      </c>
      <c r="G60" s="939">
        <f>+'Anexo 1 - Balance'!G220</f>
        <v>0</v>
      </c>
      <c r="H60" s="939">
        <f>+'Anexo 1 - Balance'!H220</f>
        <v>0</v>
      </c>
      <c r="I60" s="939">
        <f>+'Anexo 1 - Balance'!I220</f>
        <v>0</v>
      </c>
      <c r="J60" s="939">
        <f>+'Anexo 1 - Balance'!J220</f>
        <v>0</v>
      </c>
    </row>
    <row r="61" spans="1:12" ht="15">
      <c r="A61" s="938" t="s">
        <v>1066</v>
      </c>
      <c r="B61" s="939">
        <f>+'Anexo 1 - Balance'!B221</f>
        <v>31158.577000000001</v>
      </c>
      <c r="C61" s="939">
        <f>+'Anexo 1 - Balance'!C221</f>
        <v>26736.687000000002</v>
      </c>
      <c r="D61" s="939">
        <f>+'Anexo 1 - Balance'!D221</f>
        <v>32040.596000000001</v>
      </c>
      <c r="E61" s="939">
        <f>+'Anexo 1 - Balance'!E221</f>
        <v>43925.756000000001</v>
      </c>
      <c r="F61" s="939">
        <f>+'Anexo 1 - Balance'!F221</f>
        <v>29806.920999999998</v>
      </c>
      <c r="G61" s="939">
        <f>+'Anexo 1 - Balance'!G221</f>
        <v>36100.748</v>
      </c>
      <c r="H61" s="939">
        <f>+'Anexo 1 - Balance'!H221</f>
        <v>4209.607</v>
      </c>
      <c r="I61" s="939">
        <f>+'Anexo 1 - Balance'!I221</f>
        <v>4210</v>
      </c>
      <c r="J61" s="939">
        <f>+'Anexo 1 - Balance'!J221</f>
        <v>4209.607</v>
      </c>
    </row>
    <row r="62" spans="1:12" ht="15">
      <c r="A62" s="938" t="s">
        <v>1067</v>
      </c>
      <c r="B62" s="939">
        <f>+'Anexo 1 - Balance'!B222</f>
        <v>10858.612999999999</v>
      </c>
      <c r="C62" s="939">
        <f>+'Anexo 1 - Balance'!C222</f>
        <v>10858.612999999999</v>
      </c>
      <c r="D62" s="939">
        <f>+'Anexo 1 - Balance'!D222</f>
        <v>10858.612999999999</v>
      </c>
      <c r="E62" s="939">
        <f>+'Anexo 1 - Balance'!E222</f>
        <v>10136.722</v>
      </c>
      <c r="F62" s="939">
        <f>+'Anexo 1 - Balance'!F222</f>
        <v>9414.8310000000001</v>
      </c>
      <c r="G62" s="939">
        <f>+'Anexo 1 - Balance'!G222</f>
        <v>8138.259</v>
      </c>
      <c r="H62" s="939">
        <f>+'Anexo 1 - Balance'!H222</f>
        <v>4308.5420000000004</v>
      </c>
      <c r="I62" s="939">
        <f>+'Anexo 1 - Balance'!I222</f>
        <v>4309</v>
      </c>
      <c r="J62" s="939">
        <f>+'Anexo 1 - Balance'!J222</f>
        <v>4308.5420000000004</v>
      </c>
    </row>
    <row r="63" spans="1:12" ht="15">
      <c r="A63" s="938" t="s">
        <v>1068</v>
      </c>
      <c r="B63" s="939">
        <f>+'Anexo 1 - Balance'!B224</f>
        <v>9331.1319999999996</v>
      </c>
      <c r="C63" s="939">
        <f>+'Anexo 1 - Balance'!C224</f>
        <v>12306.288</v>
      </c>
      <c r="D63" s="939">
        <f>+'Anexo 1 - Balance'!D224</f>
        <v>22940.538</v>
      </c>
      <c r="E63" s="939">
        <f>+'Anexo 1 - Balance'!E224</f>
        <v>13989.019</v>
      </c>
      <c r="F63" s="939">
        <f>+'Anexo 1 - Balance'!F224</f>
        <v>18180.749</v>
      </c>
      <c r="G63" s="939">
        <f>+'Anexo 1 - Balance'!G224</f>
        <v>17945.632000000001</v>
      </c>
      <c r="H63" s="939">
        <f>+'Anexo 1 - Balance'!H224</f>
        <v>15037.779</v>
      </c>
      <c r="I63" s="939">
        <f>+'Anexo 1 - Balance'!I224</f>
        <v>13841</v>
      </c>
      <c r="J63" s="939">
        <f>+'Anexo 1 - Balance'!J224</f>
        <v>15015.334999999999</v>
      </c>
    </row>
    <row r="64" spans="1:12" ht="15">
      <c r="A64" s="938" t="s">
        <v>1069</v>
      </c>
      <c r="B64" s="939">
        <f>+'Anexo 1 - Balance'!B227</f>
        <v>0</v>
      </c>
      <c r="C64" s="939">
        <f>+'Anexo 1 - Balance'!C227</f>
        <v>0</v>
      </c>
      <c r="D64" s="939">
        <f>+'Anexo 1 - Balance'!D227</f>
        <v>0</v>
      </c>
      <c r="E64" s="939">
        <f>+'Anexo 1 - Balance'!E227</f>
        <v>0</v>
      </c>
      <c r="F64" s="939">
        <f>+'Anexo 1 - Balance'!F227</f>
        <v>0</v>
      </c>
      <c r="G64" s="939">
        <f>+'Anexo 1 - Balance'!G227</f>
        <v>0</v>
      </c>
      <c r="H64" s="939">
        <f>+'Anexo 1 - Balance'!H227</f>
        <v>0</v>
      </c>
      <c r="I64" s="939">
        <f>+'Anexo 1 - Balance'!I227</f>
        <v>0</v>
      </c>
      <c r="J64" s="939">
        <f>+'Anexo 1 - Balance'!J227</f>
        <v>0</v>
      </c>
    </row>
    <row r="65" spans="1:12" ht="15.75" thickBot="1">
      <c r="A65" s="938" t="s">
        <v>1070</v>
      </c>
      <c r="B65" s="939">
        <f>+'Anexo 1 - Balance'!B228</f>
        <v>31.98</v>
      </c>
      <c r="C65" s="939">
        <f>+'Anexo 1 - Balance'!C228</f>
        <v>97.518000000000001</v>
      </c>
      <c r="D65" s="939">
        <f>+'Anexo 1 - Balance'!D228</f>
        <v>30.131</v>
      </c>
      <c r="E65" s="939">
        <f>+'Anexo 1 - Balance'!E228</f>
        <v>50.75</v>
      </c>
      <c r="F65" s="939">
        <f>+'Anexo 1 - Balance'!F228</f>
        <v>0</v>
      </c>
      <c r="G65" s="939">
        <f>+'Anexo 1 - Balance'!G228</f>
        <v>0</v>
      </c>
      <c r="H65" s="939">
        <f>+'Anexo 1 - Balance'!H228</f>
        <v>0</v>
      </c>
      <c r="I65" s="939">
        <f>+'Anexo 1 - Balance'!I228</f>
        <v>0</v>
      </c>
      <c r="J65" s="939">
        <f>+'Anexo 1 - Balance'!J228</f>
        <v>0</v>
      </c>
    </row>
    <row r="66" spans="1:12" ht="15.75" thickBot="1">
      <c r="A66" s="947" t="s">
        <v>216</v>
      </c>
      <c r="B66" s="949">
        <f>SUM(B59:B65)</f>
        <v>59080.071000000004</v>
      </c>
      <c r="C66" s="949">
        <f t="shared" ref="C66:J66" si="11">SUM(C59:C65)</f>
        <v>57698.875</v>
      </c>
      <c r="D66" s="949">
        <f t="shared" si="11"/>
        <v>73569.646999999997</v>
      </c>
      <c r="E66" s="949">
        <f t="shared" si="11"/>
        <v>75802.016000000003</v>
      </c>
      <c r="F66" s="949">
        <f t="shared" si="11"/>
        <v>65102.270000000004</v>
      </c>
      <c r="G66" s="949">
        <f t="shared" si="11"/>
        <v>69884.407999999996</v>
      </c>
      <c r="H66" s="949">
        <f t="shared" si="11"/>
        <v>31255.697</v>
      </c>
      <c r="I66" s="949">
        <f t="shared" si="11"/>
        <v>30060</v>
      </c>
      <c r="J66" s="949">
        <f t="shared" si="11"/>
        <v>31233.253000000001</v>
      </c>
      <c r="L66" s="949">
        <f>J66+(L22-J20)</f>
        <v>28662.254283999995</v>
      </c>
    </row>
    <row r="67" spans="1:12" ht="15.75" thickBot="1">
      <c r="A67" s="950" t="s">
        <v>217</v>
      </c>
      <c r="B67" s="951">
        <f>+B58+B66</f>
        <v>74004.716</v>
      </c>
      <c r="C67" s="951">
        <f t="shared" ref="C67:I67" si="12">+C58+C66</f>
        <v>75284.536999999997</v>
      </c>
      <c r="D67" s="951">
        <f t="shared" si="12"/>
        <v>95549.676999999996</v>
      </c>
      <c r="E67" s="951">
        <f t="shared" si="12"/>
        <v>97148.837</v>
      </c>
      <c r="F67" s="951">
        <f t="shared" si="12"/>
        <v>101825.611</v>
      </c>
      <c r="G67" s="951">
        <f t="shared" si="12"/>
        <v>106430.655</v>
      </c>
      <c r="H67" s="951">
        <f t="shared" si="12"/>
        <v>56421.718999999997</v>
      </c>
      <c r="I67" s="951">
        <f t="shared" si="12"/>
        <v>74629</v>
      </c>
      <c r="J67" s="951">
        <f>+J58+J66</f>
        <v>97187.28899999999</v>
      </c>
      <c r="L67" s="951">
        <f>+L58+L66</f>
        <v>94616.290283999988</v>
      </c>
    </row>
    <row r="68" spans="1:12" ht="15.75" thickBot="1">
      <c r="A68" s="952" t="s">
        <v>1071</v>
      </c>
      <c r="B68" s="953">
        <f>+B41-B67</f>
        <v>0</v>
      </c>
      <c r="C68" s="953">
        <f t="shared" ref="C68:J68" si="13">+C41-C67</f>
        <v>0</v>
      </c>
      <c r="D68" s="953">
        <f t="shared" si="13"/>
        <v>0</v>
      </c>
      <c r="E68" s="953">
        <f t="shared" si="13"/>
        <v>0</v>
      </c>
      <c r="F68" s="953">
        <f t="shared" si="13"/>
        <v>0</v>
      </c>
      <c r="G68" s="953">
        <f t="shared" si="13"/>
        <v>0</v>
      </c>
      <c r="H68" s="953">
        <f t="shared" si="13"/>
        <v>0</v>
      </c>
      <c r="I68" s="953">
        <f t="shared" si="13"/>
        <v>0</v>
      </c>
      <c r="J68" s="956">
        <f t="shared" si="13"/>
        <v>0</v>
      </c>
      <c r="K68" s="94" t="s">
        <v>1072</v>
      </c>
      <c r="L68" s="954">
        <f>+L41-L67</f>
        <v>20404.672515999991</v>
      </c>
    </row>
    <row r="69" spans="1:12" s="867" customFormat="1" ht="15">
      <c r="B69" s="901"/>
      <c r="C69" s="901"/>
      <c r="D69" s="901"/>
      <c r="E69" s="901"/>
      <c r="F69" s="901"/>
      <c r="G69" s="901"/>
      <c r="H69" s="901"/>
      <c r="I69" s="901"/>
      <c r="J69" s="901"/>
    </row>
    <row r="70" spans="1:12" s="867" customFormat="1" ht="15">
      <c r="B70" s="901"/>
      <c r="C70" s="901"/>
      <c r="D70" s="901"/>
      <c r="E70" s="901"/>
      <c r="F70" s="901"/>
      <c r="G70" s="901"/>
      <c r="H70" s="901"/>
      <c r="I70" s="901"/>
      <c r="J70" s="901"/>
    </row>
  </sheetData>
  <mergeCells count="3">
    <mergeCell ref="A3:N3"/>
    <mergeCell ref="A6:J6"/>
    <mergeCell ref="A26:J26"/>
  </mergeCells>
  <pageMargins left="0.7" right="0.7" top="0.75" bottom="0.75" header="0.3" footer="0.3"/>
  <pageSetup orientation="portrait" verticalDpi="0" r:id="rId1"/>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7"/>
  <sheetViews>
    <sheetView workbookViewId="0">
      <pane xSplit="1" ySplit="3" topLeftCell="Q37" activePane="bottomRight" state="frozen"/>
      <selection pane="topRight" activeCell="B1" sqref="B1"/>
      <selection pane="bottomLeft" activeCell="A4" sqref="A4"/>
      <selection pane="bottomRight" activeCell="Z45" sqref="Z45"/>
    </sheetView>
  </sheetViews>
  <sheetFormatPr baseColWidth="10" defaultColWidth="0" defaultRowHeight="0" customHeight="1" zeroHeight="1"/>
  <cols>
    <col min="1" max="1" width="52.28515625" style="867" customWidth="1"/>
    <col min="2" max="3" width="12" style="867" customWidth="1"/>
    <col min="4" max="10" width="13.140625" style="867" customWidth="1"/>
    <col min="11" max="12" width="12.140625" style="867" bestFit="1" customWidth="1"/>
    <col min="13" max="14" width="13.42578125" style="867" bestFit="1" customWidth="1"/>
    <col min="15" max="26" width="12.140625" style="867" bestFit="1" customWidth="1"/>
    <col min="27" max="27" width="11.42578125" style="867" customWidth="1"/>
    <col min="28" max="16384" width="11.42578125" style="867" hidden="1"/>
  </cols>
  <sheetData>
    <row r="1" spans="1:27" ht="68.25" customHeight="1" thickBot="1">
      <c r="K1" s="1628" t="s">
        <v>1073</v>
      </c>
      <c r="L1" s="1628"/>
      <c r="M1" s="1628"/>
      <c r="N1" s="1628"/>
    </row>
    <row r="2" spans="1:27" s="64" customFormat="1" ht="21.75" customHeight="1" thickBot="1">
      <c r="A2" s="1629" t="s">
        <v>1038</v>
      </c>
      <c r="B2" s="957">
        <v>2006</v>
      </c>
      <c r="C2" s="957">
        <v>2007</v>
      </c>
      <c r="D2" s="957">
        <v>2008</v>
      </c>
      <c r="E2" s="957">
        <v>2009</v>
      </c>
      <c r="F2" s="957">
        <v>2010</v>
      </c>
      <c r="G2" s="957">
        <v>2011</v>
      </c>
      <c r="H2" s="957">
        <v>2012</v>
      </c>
      <c r="I2" s="957">
        <v>2013</v>
      </c>
      <c r="J2" s="958">
        <v>2014</v>
      </c>
      <c r="K2" s="1626" t="s">
        <v>1074</v>
      </c>
      <c r="L2" s="1627"/>
      <c r="M2" s="1626" t="s">
        <v>1075</v>
      </c>
      <c r="N2" s="1627"/>
      <c r="O2" s="1626" t="s">
        <v>1076</v>
      </c>
      <c r="P2" s="1627"/>
      <c r="Q2" s="1626" t="s">
        <v>1077</v>
      </c>
      <c r="R2" s="1627"/>
      <c r="S2" s="1626" t="s">
        <v>1078</v>
      </c>
      <c r="T2" s="1627"/>
      <c r="U2" s="1626" t="s">
        <v>1079</v>
      </c>
      <c r="V2" s="1627"/>
      <c r="W2" s="1626" t="s">
        <v>1080</v>
      </c>
      <c r="X2" s="1627"/>
      <c r="Y2" s="1626" t="s">
        <v>1081</v>
      </c>
      <c r="Z2" s="1627"/>
      <c r="AA2" s="867"/>
    </row>
    <row r="3" spans="1:27" s="64" customFormat="1" ht="13.5" customHeight="1" thickBot="1">
      <c r="A3" s="1630"/>
      <c r="B3" s="959"/>
      <c r="C3" s="959"/>
      <c r="D3" s="959"/>
      <c r="E3" s="959"/>
      <c r="F3" s="959"/>
      <c r="G3" s="959"/>
      <c r="H3" s="959"/>
      <c r="I3" s="959"/>
      <c r="J3" s="959"/>
      <c r="K3" s="960" t="s">
        <v>542</v>
      </c>
      <c r="L3" s="960" t="s">
        <v>1082</v>
      </c>
      <c r="M3" s="960" t="s">
        <v>542</v>
      </c>
      <c r="N3" s="960" t="s">
        <v>1082</v>
      </c>
      <c r="O3" s="960" t="s">
        <v>542</v>
      </c>
      <c r="P3" s="960" t="s">
        <v>1082</v>
      </c>
      <c r="Q3" s="960" t="s">
        <v>542</v>
      </c>
      <c r="R3" s="960" t="s">
        <v>1082</v>
      </c>
      <c r="S3" s="960" t="s">
        <v>542</v>
      </c>
      <c r="T3" s="960" t="s">
        <v>1082</v>
      </c>
      <c r="U3" s="960" t="s">
        <v>542</v>
      </c>
      <c r="V3" s="960" t="s">
        <v>1082</v>
      </c>
      <c r="W3" s="960" t="s">
        <v>542</v>
      </c>
      <c r="X3" s="960" t="s">
        <v>1082</v>
      </c>
      <c r="Y3" s="960" t="s">
        <v>542</v>
      </c>
      <c r="Z3" s="960" t="s">
        <v>1082</v>
      </c>
      <c r="AA3" s="867"/>
    </row>
    <row r="4" spans="1:27" s="64" customFormat="1" ht="15">
      <c r="A4" s="961" t="s">
        <v>1039</v>
      </c>
      <c r="B4" s="939">
        <f>+FER!B28</f>
        <v>6830.6859999999997</v>
      </c>
      <c r="C4" s="939">
        <f>+FER!C28</f>
        <v>6226.7349999999997</v>
      </c>
      <c r="D4" s="939">
        <f>+FER!D28</f>
        <v>10449.946</v>
      </c>
      <c r="E4" s="939">
        <f>+FER!E28</f>
        <v>8903.0879999999997</v>
      </c>
      <c r="F4" s="939">
        <f>+FER!F28</f>
        <v>11296.766</v>
      </c>
      <c r="G4" s="939">
        <f>+FER!G28</f>
        <v>7637.2430000000004</v>
      </c>
      <c r="H4" s="939">
        <f>+FER!H28</f>
        <v>7760.9030000000002</v>
      </c>
      <c r="I4" s="939">
        <f>+FER!I28</f>
        <v>11832</v>
      </c>
      <c r="J4" s="939">
        <f>+FER!J28</f>
        <v>7493.665</v>
      </c>
      <c r="K4" s="962">
        <f>+IF(C4-B4&lt;0,ABS(C4-B4),0)</f>
        <v>603.95100000000002</v>
      </c>
      <c r="L4" s="963">
        <f>+IF(C4-B4&gt;0,ABS(C4-B4),0)</f>
        <v>0</v>
      </c>
      <c r="M4" s="962">
        <f>+IF(D4-C4&lt;0,ABS(D4-C4),0)</f>
        <v>0</v>
      </c>
      <c r="N4" s="963">
        <f>+IF(D4-C4&gt;0,ABS(D4-C4),0)</f>
        <v>4223.2110000000002</v>
      </c>
      <c r="O4" s="962">
        <f>+IF(E4-D4&lt;0,ABS(E4-D4),0)</f>
        <v>1546.8580000000002</v>
      </c>
      <c r="P4" s="963">
        <f>+IF(E4-D4&gt;0,ABS(E4-D4),0)</f>
        <v>0</v>
      </c>
      <c r="Q4" s="962">
        <f>+IF(F4-E4&lt;0,ABS(F4-E4),0)</f>
        <v>0</v>
      </c>
      <c r="R4" s="963">
        <f>+IF(F4-E4&gt;0,ABS(F4-E4),0)</f>
        <v>2393.6779999999999</v>
      </c>
      <c r="S4" s="962">
        <f>+IF(G4-F4&lt;0,ABS(G4-F4),0)</f>
        <v>3659.5229999999992</v>
      </c>
      <c r="T4" s="963">
        <f>+IF(G4-F4&gt;0,ABS(G4-F4),0)</f>
        <v>0</v>
      </c>
      <c r="U4" s="962">
        <f>+IF(H4-G4&lt;0,ABS(H4-G4),0)</f>
        <v>0</v>
      </c>
      <c r="V4" s="963">
        <f>+IF(H4-G4&gt;0,ABS(H4-G4),0)</f>
        <v>123.65999999999985</v>
      </c>
      <c r="W4" s="962">
        <f>+IF(I4-H4&lt;0,ABS(I4-H4),0)</f>
        <v>0</v>
      </c>
      <c r="X4" s="963">
        <f>+IF(I4-H4&gt;0,ABS(I4-H4),0)</f>
        <v>4071.0969999999998</v>
      </c>
      <c r="Y4" s="962">
        <f>+IF(J4-I4&lt;0,ABS(J4-I4),0)</f>
        <v>4338.335</v>
      </c>
      <c r="Z4" s="963">
        <f>+IF(J4-I4&gt;0,ABS(J4-I4),0)</f>
        <v>0</v>
      </c>
      <c r="AA4" s="867"/>
    </row>
    <row r="5" spans="1:27" s="64" customFormat="1" ht="15">
      <c r="A5" s="961" t="s">
        <v>1040</v>
      </c>
      <c r="B5" s="939">
        <f>+FER!B29</f>
        <v>3864.5070000000001</v>
      </c>
      <c r="C5" s="939">
        <f>+FER!C29</f>
        <v>4493.3069999999998</v>
      </c>
      <c r="D5" s="939">
        <f>+FER!D29</f>
        <v>0</v>
      </c>
      <c r="E5" s="939">
        <f>+FER!E29</f>
        <v>0</v>
      </c>
      <c r="F5" s="939">
        <f>+FER!F29</f>
        <v>0</v>
      </c>
      <c r="G5" s="939">
        <f>+FER!G29</f>
        <v>0</v>
      </c>
      <c r="H5" s="939">
        <f>+FER!H29</f>
        <v>0</v>
      </c>
      <c r="I5" s="939">
        <f>+FER!I29</f>
        <v>0</v>
      </c>
      <c r="J5" s="939">
        <f>+FER!J29</f>
        <v>0</v>
      </c>
      <c r="K5" s="962">
        <f>+IF(C5-B5&lt;0,ABS(C5-B5),0)</f>
        <v>0</v>
      </c>
      <c r="L5" s="963">
        <f>+IF(C5-B5&gt;0,ABS(C5-B5),0)</f>
        <v>628.79999999999973</v>
      </c>
      <c r="M5" s="962">
        <f>+IF(D5-C5&lt;0,ABS(D5-C5),0)</f>
        <v>4493.3069999999998</v>
      </c>
      <c r="N5" s="963">
        <f>+IF(D5-C5&gt;0,ABS(D5-C5),0)</f>
        <v>0</v>
      </c>
      <c r="O5" s="962">
        <f>+IF(E5-D5&lt;0,ABS(E5-D5),0)</f>
        <v>0</v>
      </c>
      <c r="P5" s="963">
        <f>+IF(E5-D5&gt;0,ABS(E5-D5),0)</f>
        <v>0</v>
      </c>
      <c r="Q5" s="962">
        <f>+IF(F5-E5&lt;0,ABS(F5-E5),0)</f>
        <v>0</v>
      </c>
      <c r="R5" s="963">
        <f>+IF(F5-E5&gt;0,ABS(F5-E5),0)</f>
        <v>0</v>
      </c>
      <c r="S5" s="962">
        <f>+IF(G5-F5&lt;0,ABS(G5-F5),0)</f>
        <v>0</v>
      </c>
      <c r="T5" s="963">
        <f>+IF(G5-F5&gt;0,ABS(G5-F5),0)</f>
        <v>0</v>
      </c>
      <c r="U5" s="962">
        <f>+IF(H5-G5&lt;0,ABS(H5-G5),0)</f>
        <v>0</v>
      </c>
      <c r="V5" s="963">
        <f>+IF(H5-G5&gt;0,ABS(H5-G5),0)</f>
        <v>0</v>
      </c>
      <c r="W5" s="962">
        <f>+IF(I5-H5&lt;0,ABS(I5-H5),0)</f>
        <v>0</v>
      </c>
      <c r="X5" s="963">
        <f>+IF(I5-H5&gt;0,ABS(I5-H5),0)</f>
        <v>0</v>
      </c>
      <c r="Y5" s="962">
        <f>+IF(J5-I5&lt;0,ABS(J5-I5),0)</f>
        <v>0</v>
      </c>
      <c r="Z5" s="963">
        <f>+IF(J5-I5&gt;0,ABS(J5-I5),0)</f>
        <v>0</v>
      </c>
      <c r="AA5" s="867"/>
    </row>
    <row r="6" spans="1:27" s="64" customFormat="1" ht="15">
      <c r="A6" s="961" t="s">
        <v>1041</v>
      </c>
      <c r="B6" s="939">
        <f>+FER!B30</f>
        <v>51017.307000000001</v>
      </c>
      <c r="C6" s="939">
        <f>+FER!C30</f>
        <v>52546.419000000002</v>
      </c>
      <c r="D6" s="939">
        <f>+FER!D30</f>
        <v>74267.982000000004</v>
      </c>
      <c r="E6" s="939">
        <f>+FER!E30</f>
        <v>29225.924999999999</v>
      </c>
      <c r="F6" s="939">
        <f>+FER!F30</f>
        <v>32478.819</v>
      </c>
      <c r="G6" s="939">
        <f>+FER!G30</f>
        <v>36059.01</v>
      </c>
      <c r="H6" s="939">
        <f>+FER!H30</f>
        <v>38908.821000000004</v>
      </c>
      <c r="I6" s="939">
        <f>+FER!I30</f>
        <v>50547</v>
      </c>
      <c r="J6" s="939">
        <f>+FER!J30</f>
        <v>78654.81</v>
      </c>
      <c r="K6" s="962">
        <f>+IF(C6-B6&lt;0,ABS(C6-B6),0)</f>
        <v>0</v>
      </c>
      <c r="L6" s="963">
        <f>+IF(C6-B6&gt;0,ABS(C6-B6),0)</f>
        <v>1529.112000000001</v>
      </c>
      <c r="M6" s="962">
        <f>+IF(D6-C6&lt;0,ABS(D6-C6),0)</f>
        <v>0</v>
      </c>
      <c r="N6" s="963">
        <f>+IF(D6-C6&gt;0,ABS(D6-C6),0)</f>
        <v>21721.563000000002</v>
      </c>
      <c r="O6" s="962">
        <f>+IF(E6-D6&lt;0,ABS(E6-D6),0)</f>
        <v>45042.057000000001</v>
      </c>
      <c r="P6" s="963">
        <f>+IF(E6-D6&gt;0,ABS(E6-D6),0)</f>
        <v>0</v>
      </c>
      <c r="Q6" s="962">
        <f>+IF(F6-E6&lt;0,ABS(F6-E6),0)</f>
        <v>0</v>
      </c>
      <c r="R6" s="963">
        <f>+IF(F6-E6&gt;0,ABS(F6-E6),0)</f>
        <v>3252.8940000000002</v>
      </c>
      <c r="S6" s="962">
        <f>+IF(G6-F6&lt;0,ABS(G6-F6),0)</f>
        <v>0</v>
      </c>
      <c r="T6" s="963">
        <f>+IF(G6-F6&gt;0,ABS(G6-F6),0)</f>
        <v>3580.1910000000025</v>
      </c>
      <c r="U6" s="962">
        <f>+IF(H6-G6&lt;0,ABS(H6-G6),0)</f>
        <v>0</v>
      </c>
      <c r="V6" s="963">
        <f>+IF(H6-G6&gt;0,ABS(H6-G6),0)</f>
        <v>2849.8110000000015</v>
      </c>
      <c r="W6" s="962">
        <f>+IF(I6-H6&lt;0,ABS(I6-H6),0)</f>
        <v>0</v>
      </c>
      <c r="X6" s="963">
        <f>+IF(I6-H6&gt;0,ABS(I6-H6),0)</f>
        <v>11638.178999999996</v>
      </c>
      <c r="Y6" s="962">
        <f>+IF(J6-I6&lt;0,ABS(J6-I6),0)</f>
        <v>0</v>
      </c>
      <c r="Z6" s="963">
        <f>+IF(J6-I6&gt;0,ABS(J6-I6),0)</f>
        <v>28107.809999999998</v>
      </c>
      <c r="AA6" s="867"/>
    </row>
    <row r="7" spans="1:27" s="64" customFormat="1" ht="15">
      <c r="A7" s="961" t="s">
        <v>1042</v>
      </c>
      <c r="B7" s="939">
        <f>+FER!B31</f>
        <v>0</v>
      </c>
      <c r="C7" s="939">
        <f>+FER!C31</f>
        <v>0</v>
      </c>
      <c r="D7" s="939">
        <f>+FER!D31</f>
        <v>0</v>
      </c>
      <c r="E7" s="939">
        <f>+FER!E31</f>
        <v>0</v>
      </c>
      <c r="F7" s="939">
        <f>+FER!F31</f>
        <v>0</v>
      </c>
      <c r="G7" s="939">
        <f>+FER!G31</f>
        <v>0</v>
      </c>
      <c r="H7" s="939">
        <f>+FER!H31</f>
        <v>0</v>
      </c>
      <c r="I7" s="939">
        <f>+FER!I31</f>
        <v>0</v>
      </c>
      <c r="J7" s="939">
        <f>+FER!J31</f>
        <v>0</v>
      </c>
      <c r="K7" s="962">
        <f>+IF(C7-B7&lt;0,ABS(C7-B7),0)</f>
        <v>0</v>
      </c>
      <c r="L7" s="963">
        <f>+IF(C7-B7&gt;0,ABS(C7-B7),0)</f>
        <v>0</v>
      </c>
      <c r="M7" s="962">
        <f>+IF(D7-C7&lt;0,ABS(D7-C7),0)</f>
        <v>0</v>
      </c>
      <c r="N7" s="963">
        <f>+IF(D7-C7&gt;0,ABS(D7-C7),0)</f>
        <v>0</v>
      </c>
      <c r="O7" s="962">
        <f>+IF(E7-D7&lt;0,ABS(E7-D7),0)</f>
        <v>0</v>
      </c>
      <c r="P7" s="963">
        <f>+IF(E7-D7&gt;0,ABS(E7-D7),0)</f>
        <v>0</v>
      </c>
      <c r="Q7" s="962">
        <f>+IF(F7-E7&lt;0,ABS(F7-E7),0)</f>
        <v>0</v>
      </c>
      <c r="R7" s="963">
        <f>+IF(F7-E7&gt;0,ABS(F7-E7),0)</f>
        <v>0</v>
      </c>
      <c r="S7" s="962">
        <f>+IF(G7-F7&lt;0,ABS(G7-F7),0)</f>
        <v>0</v>
      </c>
      <c r="T7" s="963">
        <f>+IF(G7-F7&gt;0,ABS(G7-F7),0)</f>
        <v>0</v>
      </c>
      <c r="U7" s="962">
        <f>+IF(H7-G7&lt;0,ABS(H7-G7),0)</f>
        <v>0</v>
      </c>
      <c r="V7" s="963">
        <f>+IF(H7-G7&gt;0,ABS(H7-G7),0)</f>
        <v>0</v>
      </c>
      <c r="W7" s="962">
        <f>+IF(I7-H7&lt;0,ABS(I7-H7),0)</f>
        <v>0</v>
      </c>
      <c r="X7" s="963">
        <f>+IF(I7-H7&gt;0,ABS(I7-H7),0)</f>
        <v>0</v>
      </c>
      <c r="Y7" s="962">
        <f>+IF(J7-I7&lt;0,ABS(J7-I7),0)</f>
        <v>0</v>
      </c>
      <c r="Z7" s="963">
        <f>+IF(J7-I7&gt;0,ABS(J7-I7),0)</f>
        <v>0</v>
      </c>
      <c r="AA7" s="867"/>
    </row>
    <row r="8" spans="1:27" s="64" customFormat="1" ht="15.75" thickBot="1">
      <c r="A8" s="961" t="s">
        <v>1043</v>
      </c>
      <c r="B8" s="939">
        <f>+FER!B32</f>
        <v>1869.1310000000001</v>
      </c>
      <c r="C8" s="939">
        <f>+FER!C32</f>
        <v>1616.4680000000001</v>
      </c>
      <c r="D8" s="939">
        <f>+FER!D32</f>
        <v>2495.2939999999999</v>
      </c>
      <c r="E8" s="939">
        <f>+FER!E32</f>
        <v>2877.3119999999999</v>
      </c>
      <c r="F8" s="939">
        <f>+FER!F32</f>
        <v>2499.5610000000001</v>
      </c>
      <c r="G8" s="939">
        <f>+FER!G32</f>
        <v>2881.652</v>
      </c>
      <c r="H8" s="939">
        <f>+FER!H32</f>
        <v>3277.19</v>
      </c>
      <c r="I8" s="939">
        <f>+FER!I32</f>
        <v>3316</v>
      </c>
      <c r="J8" s="939">
        <f>+FER!J32</f>
        <v>3019.8939999999998</v>
      </c>
      <c r="K8" s="962">
        <f>+IF(C8-B8&lt;0,ABS(C8-B8),0)</f>
        <v>252.66300000000001</v>
      </c>
      <c r="L8" s="963">
        <f>+IF(C8-B8&gt;0,ABS(C8-B8),0)</f>
        <v>0</v>
      </c>
      <c r="M8" s="962">
        <f>+IF(D8-C8&lt;0,ABS(D8-C8),0)</f>
        <v>0</v>
      </c>
      <c r="N8" s="963">
        <f>+IF(D8-C8&gt;0,ABS(D8-C8),0)</f>
        <v>878.82599999999979</v>
      </c>
      <c r="O8" s="962">
        <f>+IF(E8-D8&lt;0,ABS(E8-D8),0)</f>
        <v>0</v>
      </c>
      <c r="P8" s="963">
        <f>+IF(E8-D8&gt;0,ABS(E8-D8),0)</f>
        <v>382.01800000000003</v>
      </c>
      <c r="Q8" s="962">
        <f>+IF(F8-E8&lt;0,ABS(F8-E8),0)</f>
        <v>377.75099999999975</v>
      </c>
      <c r="R8" s="963">
        <f>+IF(F8-E8&gt;0,ABS(F8-E8),0)</f>
        <v>0</v>
      </c>
      <c r="S8" s="962">
        <f>+IF(G8-F8&lt;0,ABS(G8-F8),0)</f>
        <v>0</v>
      </c>
      <c r="T8" s="963">
        <f>+IF(G8-F8&gt;0,ABS(G8-F8),0)</f>
        <v>382.09099999999989</v>
      </c>
      <c r="U8" s="962">
        <f>+IF(H8-G8&lt;0,ABS(H8-G8),0)</f>
        <v>0</v>
      </c>
      <c r="V8" s="963">
        <f>+IF(H8-G8&gt;0,ABS(H8-G8),0)</f>
        <v>395.53800000000001</v>
      </c>
      <c r="W8" s="962">
        <f>+IF(I8-H8&lt;0,ABS(I8-H8),0)</f>
        <v>0</v>
      </c>
      <c r="X8" s="963">
        <f>+IF(I8-H8&gt;0,ABS(I8-H8),0)</f>
        <v>38.809999999999945</v>
      </c>
      <c r="Y8" s="962">
        <f>+IF(J8-I8&lt;0,ABS(J8-I8),0)</f>
        <v>296.10600000000022</v>
      </c>
      <c r="Z8" s="963">
        <f>+IF(J8-I8&gt;0,ABS(J8-I8),0)</f>
        <v>0</v>
      </c>
      <c r="AA8" s="867"/>
    </row>
    <row r="9" spans="1:27" s="64" customFormat="1" ht="15.75" thickBot="1">
      <c r="A9" s="964" t="s">
        <v>730</v>
      </c>
      <c r="B9" s="965">
        <f>SUM(B4:B8)</f>
        <v>63581.631000000001</v>
      </c>
      <c r="C9" s="965">
        <f t="shared" ref="C9:J9" si="0">SUM(C4:C8)</f>
        <v>64882.929000000004</v>
      </c>
      <c r="D9" s="965">
        <f t="shared" si="0"/>
        <v>87213.221999999994</v>
      </c>
      <c r="E9" s="965">
        <f t="shared" si="0"/>
        <v>41006.324999999997</v>
      </c>
      <c r="F9" s="965">
        <f t="shared" si="0"/>
        <v>46275.146000000001</v>
      </c>
      <c r="G9" s="965">
        <f t="shared" si="0"/>
        <v>46577.905000000006</v>
      </c>
      <c r="H9" s="965">
        <f t="shared" si="0"/>
        <v>49946.914000000004</v>
      </c>
      <c r="I9" s="965">
        <f t="shared" si="0"/>
        <v>65695</v>
      </c>
      <c r="J9" s="965">
        <f t="shared" si="0"/>
        <v>89168.368999999992</v>
      </c>
      <c r="K9" s="966"/>
      <c r="L9" s="967"/>
      <c r="M9" s="967"/>
      <c r="N9" s="967"/>
      <c r="O9" s="967"/>
      <c r="P9" s="967"/>
      <c r="Q9" s="967"/>
      <c r="R9" s="967"/>
      <c r="S9" s="967"/>
      <c r="T9" s="967"/>
      <c r="U9" s="967"/>
      <c r="V9" s="967"/>
      <c r="W9" s="967"/>
      <c r="X9" s="967"/>
      <c r="Y9" s="967"/>
      <c r="Z9" s="967"/>
      <c r="AA9" s="867"/>
    </row>
    <row r="10" spans="1:27" s="64" customFormat="1" ht="15">
      <c r="A10" s="961" t="s">
        <v>1044</v>
      </c>
      <c r="B10" s="939">
        <f>+FER!B34</f>
        <v>312.61200000000002</v>
      </c>
      <c r="C10" s="939">
        <f>+FER!C34</f>
        <v>247.46</v>
      </c>
      <c r="D10" s="939">
        <f>+FER!D34</f>
        <v>144.49199999999999</v>
      </c>
      <c r="E10" s="939">
        <f>+FER!E34</f>
        <v>144.49199999999999</v>
      </c>
      <c r="F10" s="939">
        <f>+FER!F34</f>
        <v>143.49199999999999</v>
      </c>
      <c r="G10" s="939">
        <f>+FER!G34</f>
        <v>143.49199999999999</v>
      </c>
      <c r="H10" s="939">
        <f>+FER!H34</f>
        <v>143.49199999999999</v>
      </c>
      <c r="I10" s="939">
        <f>+FER!I34</f>
        <v>106</v>
      </c>
      <c r="J10" s="939">
        <f>+FER!J34</f>
        <v>400</v>
      </c>
      <c r="K10" s="962">
        <f t="shared" ref="K10:K15" si="1">+IF(C10-B10&lt;0,ABS(C10-B10),0)</f>
        <v>65.152000000000015</v>
      </c>
      <c r="L10" s="963">
        <f t="shared" ref="L10:L15" si="2">+IF(C10-B10&gt;0,ABS(C10-B10),0)</f>
        <v>0</v>
      </c>
      <c r="M10" s="962">
        <f t="shared" ref="M10:M15" si="3">+IF(D10-C10&lt;0,ABS(D10-C10),0)</f>
        <v>102.96800000000002</v>
      </c>
      <c r="N10" s="963">
        <f t="shared" ref="N10:N15" si="4">+IF(D10-C10&gt;0,ABS(D10-C10),0)</f>
        <v>0</v>
      </c>
      <c r="O10" s="962">
        <f t="shared" ref="O10:O15" si="5">+IF(E10-D10&lt;0,ABS(E10-D10),0)</f>
        <v>0</v>
      </c>
      <c r="P10" s="963">
        <f t="shared" ref="P10:P15" si="6">+IF(E10-D10&gt;0,ABS(E10-D10),0)</f>
        <v>0</v>
      </c>
      <c r="Q10" s="962">
        <f t="shared" ref="Q10:Q15" si="7">+IF(F10-E10&lt;0,ABS(F10-E10),0)</f>
        <v>1</v>
      </c>
      <c r="R10" s="963">
        <f t="shared" ref="R10:R15" si="8">+IF(F10-E10&gt;0,ABS(F10-E10),0)</f>
        <v>0</v>
      </c>
      <c r="S10" s="962">
        <f t="shared" ref="S10:S15" si="9">+IF(G10-F10&lt;0,ABS(G10-F10),0)</f>
        <v>0</v>
      </c>
      <c r="T10" s="963">
        <f t="shared" ref="T10:T15" si="10">+IF(G10-F10&gt;0,ABS(G10-F10),0)</f>
        <v>0</v>
      </c>
      <c r="U10" s="962">
        <f t="shared" ref="U10:U15" si="11">+IF(H10-G10&lt;0,ABS(H10-G10),0)</f>
        <v>0</v>
      </c>
      <c r="V10" s="963">
        <f t="shared" ref="V10:V15" si="12">+IF(H10-G10&gt;0,ABS(H10-G10),0)</f>
        <v>0</v>
      </c>
      <c r="W10" s="962">
        <f t="shared" ref="W10:W15" si="13">+IF(I10-H10&lt;0,ABS(I10-H10),0)</f>
        <v>37.49199999999999</v>
      </c>
      <c r="X10" s="963">
        <f t="shared" ref="X10:X15" si="14">+IF(I10-H10&gt;0,ABS(I10-H10),0)</f>
        <v>0</v>
      </c>
      <c r="Y10" s="962">
        <f t="shared" ref="Y10:Y15" si="15">+IF(J10-I10&lt;0,ABS(J10-I10),0)</f>
        <v>0</v>
      </c>
      <c r="Z10" s="963">
        <f t="shared" ref="Z10:Z15" si="16">+IF(J10-I10&gt;0,ABS(J10-I10),0)</f>
        <v>294</v>
      </c>
      <c r="AA10" s="867"/>
    </row>
    <row r="11" spans="1:27" s="64" customFormat="1" ht="15">
      <c r="A11" s="961" t="s">
        <v>1045</v>
      </c>
      <c r="B11" s="939">
        <f>+FER!B35</f>
        <v>5716.8379999999997</v>
      </c>
      <c r="C11" s="939">
        <f>+FER!C35</f>
        <v>5989.8280000000004</v>
      </c>
      <c r="D11" s="939">
        <f>+FER!D35</f>
        <v>4972.7250000000004</v>
      </c>
      <c r="E11" s="939">
        <f>+FER!E35</f>
        <v>4839.6000000000004</v>
      </c>
      <c r="F11" s="939">
        <f>+FER!F35</f>
        <v>4343.4449999999997</v>
      </c>
      <c r="G11" s="939">
        <f>+FER!G35</f>
        <v>3838.8989999999999</v>
      </c>
      <c r="H11" s="939">
        <f>+FER!H35</f>
        <v>3584.5630000000001</v>
      </c>
      <c r="I11" s="939">
        <f>+FER!I35</f>
        <v>4307</v>
      </c>
      <c r="J11" s="939">
        <f>+FER!J35</f>
        <v>3245.2919999999999</v>
      </c>
      <c r="K11" s="962">
        <f t="shared" si="1"/>
        <v>0</v>
      </c>
      <c r="L11" s="963">
        <f t="shared" si="2"/>
        <v>272.99000000000069</v>
      </c>
      <c r="M11" s="962">
        <f t="shared" si="3"/>
        <v>1017.1030000000001</v>
      </c>
      <c r="N11" s="963">
        <f t="shared" si="4"/>
        <v>0</v>
      </c>
      <c r="O11" s="962">
        <f t="shared" si="5"/>
        <v>133.125</v>
      </c>
      <c r="P11" s="963">
        <f t="shared" si="6"/>
        <v>0</v>
      </c>
      <c r="Q11" s="962">
        <f t="shared" si="7"/>
        <v>496.15500000000065</v>
      </c>
      <c r="R11" s="963">
        <f t="shared" si="8"/>
        <v>0</v>
      </c>
      <c r="S11" s="962">
        <f t="shared" si="9"/>
        <v>504.54599999999982</v>
      </c>
      <c r="T11" s="963">
        <f t="shared" si="10"/>
        <v>0</v>
      </c>
      <c r="U11" s="962">
        <f t="shared" si="11"/>
        <v>254.33599999999979</v>
      </c>
      <c r="V11" s="963">
        <f t="shared" si="12"/>
        <v>0</v>
      </c>
      <c r="W11" s="962">
        <f t="shared" si="13"/>
        <v>0</v>
      </c>
      <c r="X11" s="963">
        <f t="shared" si="14"/>
        <v>722.4369999999999</v>
      </c>
      <c r="Y11" s="962">
        <f t="shared" si="15"/>
        <v>1061.7080000000001</v>
      </c>
      <c r="Z11" s="963">
        <f t="shared" si="16"/>
        <v>0</v>
      </c>
      <c r="AA11" s="867"/>
    </row>
    <row r="12" spans="1:27" s="64" customFormat="1" ht="15">
      <c r="A12" s="961" t="s">
        <v>1046</v>
      </c>
      <c r="B12" s="939">
        <f>+FER!B36</f>
        <v>0</v>
      </c>
      <c r="C12" s="939">
        <f>+FER!C36</f>
        <v>0</v>
      </c>
      <c r="D12" s="939">
        <f>+FER!D36</f>
        <v>0</v>
      </c>
      <c r="E12" s="939">
        <f>+FER!E36</f>
        <v>0</v>
      </c>
      <c r="F12" s="939">
        <f>+FER!F36</f>
        <v>0</v>
      </c>
      <c r="G12" s="939">
        <f>+FER!G36</f>
        <v>0</v>
      </c>
      <c r="H12" s="939">
        <f>+FER!H36</f>
        <v>0</v>
      </c>
      <c r="I12" s="939">
        <f>+FER!I36</f>
        <v>1244</v>
      </c>
      <c r="J12" s="939">
        <f>+FER!J36</f>
        <v>1124.2070000000001</v>
      </c>
      <c r="K12" s="962">
        <f t="shared" si="1"/>
        <v>0</v>
      </c>
      <c r="L12" s="963">
        <f t="shared" si="2"/>
        <v>0</v>
      </c>
      <c r="M12" s="962">
        <f t="shared" si="3"/>
        <v>0</v>
      </c>
      <c r="N12" s="963">
        <f t="shared" si="4"/>
        <v>0</v>
      </c>
      <c r="O12" s="962">
        <f t="shared" si="5"/>
        <v>0</v>
      </c>
      <c r="P12" s="963">
        <f t="shared" si="6"/>
        <v>0</v>
      </c>
      <c r="Q12" s="962">
        <f t="shared" si="7"/>
        <v>0</v>
      </c>
      <c r="R12" s="963">
        <f t="shared" si="8"/>
        <v>0</v>
      </c>
      <c r="S12" s="962">
        <f t="shared" si="9"/>
        <v>0</v>
      </c>
      <c r="T12" s="963">
        <f t="shared" si="10"/>
        <v>0</v>
      </c>
      <c r="U12" s="962">
        <f t="shared" si="11"/>
        <v>0</v>
      </c>
      <c r="V12" s="963">
        <f t="shared" si="12"/>
        <v>0</v>
      </c>
      <c r="W12" s="962">
        <f t="shared" si="13"/>
        <v>0</v>
      </c>
      <c r="X12" s="963">
        <f t="shared" si="14"/>
        <v>1244</v>
      </c>
      <c r="Y12" s="962">
        <f t="shared" si="15"/>
        <v>119.79299999999989</v>
      </c>
      <c r="Z12" s="963">
        <f t="shared" si="16"/>
        <v>0</v>
      </c>
      <c r="AA12" s="867"/>
    </row>
    <row r="13" spans="1:27" s="64" customFormat="1" ht="15">
      <c r="A13" s="961" t="s">
        <v>1047</v>
      </c>
      <c r="B13" s="939">
        <f>+FER!B37</f>
        <v>3070.529</v>
      </c>
      <c r="C13" s="939">
        <f>+FER!C37</f>
        <v>2908.1219999999998</v>
      </c>
      <c r="D13" s="939">
        <f>+FER!D37</f>
        <v>1709.479</v>
      </c>
      <c r="E13" s="939">
        <f>+FER!E37</f>
        <v>613.66</v>
      </c>
      <c r="F13" s="939">
        <f>+FER!F37</f>
        <v>337.80900000000003</v>
      </c>
      <c r="G13" s="939">
        <f>+FER!G37</f>
        <v>319.20600000000002</v>
      </c>
      <c r="H13" s="939">
        <f>+FER!H37</f>
        <v>296.31700000000001</v>
      </c>
      <c r="I13" s="939">
        <f>+FER!I37</f>
        <v>784</v>
      </c>
      <c r="J13" s="939">
        <f>+FER!J37</f>
        <v>790.61599999999999</v>
      </c>
      <c r="K13" s="962">
        <f t="shared" si="1"/>
        <v>162.40700000000015</v>
      </c>
      <c r="L13" s="963">
        <f t="shared" si="2"/>
        <v>0</v>
      </c>
      <c r="M13" s="962">
        <f t="shared" si="3"/>
        <v>1198.6429999999998</v>
      </c>
      <c r="N13" s="963">
        <f t="shared" si="4"/>
        <v>0</v>
      </c>
      <c r="O13" s="962">
        <f t="shared" si="5"/>
        <v>1095.819</v>
      </c>
      <c r="P13" s="963">
        <f t="shared" si="6"/>
        <v>0</v>
      </c>
      <c r="Q13" s="962">
        <f t="shared" si="7"/>
        <v>275.85099999999994</v>
      </c>
      <c r="R13" s="963">
        <f t="shared" si="8"/>
        <v>0</v>
      </c>
      <c r="S13" s="962">
        <f t="shared" si="9"/>
        <v>18.603000000000009</v>
      </c>
      <c r="T13" s="963">
        <f t="shared" si="10"/>
        <v>0</v>
      </c>
      <c r="U13" s="962">
        <f t="shared" si="11"/>
        <v>22.88900000000001</v>
      </c>
      <c r="V13" s="963">
        <f t="shared" si="12"/>
        <v>0</v>
      </c>
      <c r="W13" s="962">
        <f t="shared" si="13"/>
        <v>0</v>
      </c>
      <c r="X13" s="963">
        <f t="shared" si="14"/>
        <v>487.68299999999999</v>
      </c>
      <c r="Y13" s="962">
        <f t="shared" si="15"/>
        <v>0</v>
      </c>
      <c r="Z13" s="963">
        <f t="shared" si="16"/>
        <v>6.6159999999999854</v>
      </c>
      <c r="AA13" s="867"/>
    </row>
    <row r="14" spans="1:27" s="64" customFormat="1" ht="15">
      <c r="A14" s="961" t="s">
        <v>1048</v>
      </c>
      <c r="B14" s="939">
        <f>+FER!B38</f>
        <v>1291.126</v>
      </c>
      <c r="C14" s="939">
        <f>+FER!C38</f>
        <v>1158.68</v>
      </c>
      <c r="D14" s="939">
        <f>+FER!D38</f>
        <v>1479.6279999999999</v>
      </c>
      <c r="E14" s="939">
        <f>+FER!E38</f>
        <v>50494.01</v>
      </c>
      <c r="F14" s="939">
        <f>+FER!F38</f>
        <v>50725.718999999997</v>
      </c>
      <c r="G14" s="939">
        <f>+FER!G38</f>
        <v>55551.152999999998</v>
      </c>
      <c r="H14" s="939">
        <f>+FER!H38</f>
        <v>2450.433</v>
      </c>
      <c r="I14" s="939">
        <f>+FER!I38</f>
        <v>2493</v>
      </c>
      <c r="J14" s="939">
        <f>+FER!J38</f>
        <v>2458.8049999999998</v>
      </c>
      <c r="K14" s="962">
        <f t="shared" si="1"/>
        <v>132.44599999999991</v>
      </c>
      <c r="L14" s="963">
        <f t="shared" si="2"/>
        <v>0</v>
      </c>
      <c r="M14" s="962">
        <f t="shared" si="3"/>
        <v>0</v>
      </c>
      <c r="N14" s="963">
        <f t="shared" si="4"/>
        <v>320.94799999999987</v>
      </c>
      <c r="O14" s="962">
        <f t="shared" si="5"/>
        <v>0</v>
      </c>
      <c r="P14" s="963">
        <f t="shared" si="6"/>
        <v>49014.382000000005</v>
      </c>
      <c r="Q14" s="962">
        <f t="shared" si="7"/>
        <v>0</v>
      </c>
      <c r="R14" s="963">
        <f t="shared" si="8"/>
        <v>231.70899999999529</v>
      </c>
      <c r="S14" s="962">
        <f t="shared" si="9"/>
        <v>0</v>
      </c>
      <c r="T14" s="963">
        <f t="shared" si="10"/>
        <v>4825.4340000000011</v>
      </c>
      <c r="U14" s="962">
        <f t="shared" si="11"/>
        <v>53100.72</v>
      </c>
      <c r="V14" s="963">
        <f t="shared" si="12"/>
        <v>0</v>
      </c>
      <c r="W14" s="962">
        <f t="shared" si="13"/>
        <v>0</v>
      </c>
      <c r="X14" s="963">
        <f t="shared" si="14"/>
        <v>42.567000000000007</v>
      </c>
      <c r="Y14" s="962">
        <f t="shared" si="15"/>
        <v>34.195000000000164</v>
      </c>
      <c r="Z14" s="963">
        <f t="shared" si="16"/>
        <v>0</v>
      </c>
      <c r="AA14" s="867"/>
    </row>
    <row r="15" spans="1:27" s="64" customFormat="1" ht="15.75" thickBot="1">
      <c r="A15" s="961" t="s">
        <v>1049</v>
      </c>
      <c r="B15" s="939">
        <f>+FER!B39</f>
        <v>31.98</v>
      </c>
      <c r="C15" s="939">
        <f>+FER!C39</f>
        <v>97.518000000000001</v>
      </c>
      <c r="D15" s="939">
        <f>+FER!D39</f>
        <v>30.131</v>
      </c>
      <c r="E15" s="939">
        <f>+FER!E39</f>
        <v>50.75</v>
      </c>
      <c r="F15" s="939">
        <f>+FER!F39</f>
        <v>0</v>
      </c>
      <c r="G15" s="939">
        <f>+FER!G39</f>
        <v>0</v>
      </c>
      <c r="H15" s="939">
        <f>+FER!H39</f>
        <v>0</v>
      </c>
      <c r="I15" s="939">
        <f>+FER!I39</f>
        <v>0</v>
      </c>
      <c r="J15" s="939">
        <f>+FER!J39</f>
        <v>0</v>
      </c>
      <c r="K15" s="962">
        <f t="shared" si="1"/>
        <v>0</v>
      </c>
      <c r="L15" s="963">
        <f t="shared" si="2"/>
        <v>65.537999999999997</v>
      </c>
      <c r="M15" s="962">
        <f t="shared" si="3"/>
        <v>67.387</v>
      </c>
      <c r="N15" s="963">
        <f t="shared" si="4"/>
        <v>0</v>
      </c>
      <c r="O15" s="962">
        <f t="shared" si="5"/>
        <v>0</v>
      </c>
      <c r="P15" s="963">
        <f t="shared" si="6"/>
        <v>20.619</v>
      </c>
      <c r="Q15" s="962">
        <f t="shared" si="7"/>
        <v>50.75</v>
      </c>
      <c r="R15" s="963">
        <f t="shared" si="8"/>
        <v>0</v>
      </c>
      <c r="S15" s="962">
        <f t="shared" si="9"/>
        <v>0</v>
      </c>
      <c r="T15" s="963">
        <f t="shared" si="10"/>
        <v>0</v>
      </c>
      <c r="U15" s="962">
        <f t="shared" si="11"/>
        <v>0</v>
      </c>
      <c r="V15" s="963">
        <f t="shared" si="12"/>
        <v>0</v>
      </c>
      <c r="W15" s="962">
        <f t="shared" si="13"/>
        <v>0</v>
      </c>
      <c r="X15" s="963">
        <f t="shared" si="14"/>
        <v>0</v>
      </c>
      <c r="Y15" s="962">
        <f t="shared" si="15"/>
        <v>0</v>
      </c>
      <c r="Z15" s="963">
        <f t="shared" si="16"/>
        <v>0</v>
      </c>
      <c r="AA15" s="867"/>
    </row>
    <row r="16" spans="1:27" s="64" customFormat="1" ht="15.75" thickBot="1">
      <c r="A16" s="964" t="s">
        <v>776</v>
      </c>
      <c r="B16" s="965">
        <f>SUM(B10:B15)</f>
        <v>10423.084999999999</v>
      </c>
      <c r="C16" s="965">
        <f t="shared" ref="C16:J16" si="17">SUM(C10:C15)</f>
        <v>10401.608</v>
      </c>
      <c r="D16" s="965">
        <f t="shared" si="17"/>
        <v>8336.4549999999999</v>
      </c>
      <c r="E16" s="965">
        <f t="shared" si="17"/>
        <v>56142.512000000002</v>
      </c>
      <c r="F16" s="965">
        <f t="shared" si="17"/>
        <v>55550.464999999997</v>
      </c>
      <c r="G16" s="965">
        <f t="shared" si="17"/>
        <v>59852.75</v>
      </c>
      <c r="H16" s="965">
        <f t="shared" si="17"/>
        <v>6474.8050000000003</v>
      </c>
      <c r="I16" s="965">
        <f t="shared" si="17"/>
        <v>8934</v>
      </c>
      <c r="J16" s="965">
        <f t="shared" si="17"/>
        <v>8018.92</v>
      </c>
      <c r="K16" s="966"/>
      <c r="L16" s="967"/>
      <c r="M16" s="967"/>
      <c r="N16" s="967"/>
      <c r="O16" s="967"/>
      <c r="P16" s="967"/>
      <c r="Q16" s="967"/>
      <c r="R16" s="967"/>
      <c r="S16" s="967"/>
      <c r="T16" s="967"/>
      <c r="U16" s="967"/>
      <c r="V16" s="967"/>
      <c r="W16" s="967"/>
      <c r="X16" s="967"/>
      <c r="Y16" s="967"/>
      <c r="Z16" s="967"/>
      <c r="AA16" s="867"/>
    </row>
    <row r="17" spans="1:27" s="64" customFormat="1" ht="15.75" thickBot="1">
      <c r="A17" s="968" t="s">
        <v>346</v>
      </c>
      <c r="B17" s="945">
        <f>+B9+B16</f>
        <v>74004.716</v>
      </c>
      <c r="C17" s="945">
        <f t="shared" ref="C17:J17" si="18">+C9+C16</f>
        <v>75284.537000000011</v>
      </c>
      <c r="D17" s="945">
        <f t="shared" si="18"/>
        <v>95549.676999999996</v>
      </c>
      <c r="E17" s="945">
        <f t="shared" si="18"/>
        <v>97148.837</v>
      </c>
      <c r="F17" s="945">
        <f t="shared" si="18"/>
        <v>101825.611</v>
      </c>
      <c r="G17" s="945">
        <f t="shared" si="18"/>
        <v>106430.655</v>
      </c>
      <c r="H17" s="945">
        <f t="shared" si="18"/>
        <v>56421.719000000005</v>
      </c>
      <c r="I17" s="945">
        <f t="shared" si="18"/>
        <v>74629</v>
      </c>
      <c r="J17" s="945">
        <f t="shared" si="18"/>
        <v>97187.28899999999</v>
      </c>
      <c r="K17" s="969"/>
      <c r="L17" s="970"/>
      <c r="M17" s="970"/>
      <c r="N17" s="970"/>
      <c r="O17" s="970"/>
      <c r="P17" s="970"/>
      <c r="Q17" s="970"/>
      <c r="R17" s="970"/>
      <c r="S17" s="970"/>
      <c r="T17" s="970"/>
      <c r="U17" s="970"/>
      <c r="V17" s="970"/>
      <c r="W17" s="970"/>
      <c r="X17" s="970"/>
      <c r="Y17" s="970"/>
      <c r="Z17" s="970"/>
      <c r="AA17" s="867"/>
    </row>
    <row r="18" spans="1:27" s="64" customFormat="1" ht="15">
      <c r="A18" s="961" t="s">
        <v>1050</v>
      </c>
      <c r="B18" s="939">
        <f>+FER!B42</f>
        <v>0</v>
      </c>
      <c r="C18" s="939">
        <f>+FER!C42</f>
        <v>0</v>
      </c>
      <c r="D18" s="939">
        <f>+FER!D42</f>
        <v>0</v>
      </c>
      <c r="E18" s="939">
        <f>+FER!E42</f>
        <v>0</v>
      </c>
      <c r="F18" s="939">
        <f>+FER!F42</f>
        <v>0</v>
      </c>
      <c r="G18" s="939">
        <f>+FER!G42</f>
        <v>0</v>
      </c>
      <c r="H18" s="939">
        <f>+FER!H42</f>
        <v>0</v>
      </c>
      <c r="I18" s="939">
        <f>+FER!I42</f>
        <v>0</v>
      </c>
      <c r="J18" s="939">
        <f>+FER!J42</f>
        <v>0</v>
      </c>
      <c r="K18" s="962">
        <f>+IF(C18-B18&gt;0,ABS(C18-B18),0)</f>
        <v>0</v>
      </c>
      <c r="L18" s="963">
        <f>+IF(C18-B18&lt;0,ABS(C18-B18),0)</f>
        <v>0</v>
      </c>
      <c r="M18" s="962">
        <f>+IF(D18-C18&gt;0,ABS(D18-C18),0)</f>
        <v>0</v>
      </c>
      <c r="N18" s="963">
        <f>+IF(D18-C18&lt;0,ABS(D18-C18),0)</f>
        <v>0</v>
      </c>
      <c r="O18" s="962">
        <f>+IF(E18-D18&gt;0,ABS(E18-D18),0)</f>
        <v>0</v>
      </c>
      <c r="P18" s="963">
        <f>+IF(E18-D18&lt;0,ABS(E18-D18),0)</f>
        <v>0</v>
      </c>
      <c r="Q18" s="962">
        <f>+IF(F18-E18&gt;0,ABS(F18-E18),0)</f>
        <v>0</v>
      </c>
      <c r="R18" s="963">
        <f>+IF(F18-E18&lt;0,ABS(F18-E18),0)</f>
        <v>0</v>
      </c>
      <c r="S18" s="962">
        <f>+IF(G18-F18&gt;0,ABS(G18-F18),0)</f>
        <v>0</v>
      </c>
      <c r="T18" s="963">
        <f>+IF(G18-F18&lt;0,ABS(G18-F18),0)</f>
        <v>0</v>
      </c>
      <c r="U18" s="962">
        <f>+IF(H18-G18&gt;0,ABS(H18-G18),0)</f>
        <v>0</v>
      </c>
      <c r="V18" s="963">
        <f>+IF(H18-G18&lt;0,ABS(H18-G18),0)</f>
        <v>0</v>
      </c>
      <c r="W18" s="962">
        <f>+IF(I18-H18&gt;0,ABS(I18-H18),0)</f>
        <v>0</v>
      </c>
      <c r="X18" s="963">
        <f>+IF(I18-H18&lt;0,ABS(I18-H18),0)</f>
        <v>0</v>
      </c>
      <c r="Y18" s="962">
        <f>+IF(J18-I18&gt;0,ABS(J18-I18),0)</f>
        <v>0</v>
      </c>
      <c r="Z18" s="963">
        <f>+IF(J18-I18&lt;0,ABS(J18-I18),0)</f>
        <v>0</v>
      </c>
      <c r="AA18" s="867"/>
    </row>
    <row r="19" spans="1:27" s="64" customFormat="1" ht="15">
      <c r="A19" s="961" t="s">
        <v>1051</v>
      </c>
      <c r="B19" s="939">
        <f>+FER!B43</f>
        <v>1292.999</v>
      </c>
      <c r="C19" s="939">
        <f>+FER!C43</f>
        <v>1925.1479999999999</v>
      </c>
      <c r="D19" s="939">
        <f>+FER!D43</f>
        <v>1173.1849999999999</v>
      </c>
      <c r="E19" s="939">
        <f>+FER!E43</f>
        <v>1164.989</v>
      </c>
      <c r="F19" s="939">
        <f>+FER!F43</f>
        <v>1120.731</v>
      </c>
      <c r="G19" s="939">
        <f>+FER!G43</f>
        <v>1028.635</v>
      </c>
      <c r="H19" s="939">
        <f>+FER!H43</f>
        <v>1871.0920000000001</v>
      </c>
      <c r="I19" s="939">
        <f>+FER!I43</f>
        <v>3811</v>
      </c>
      <c r="J19" s="939">
        <f>+FER!J43</f>
        <v>3100.7890000000002</v>
      </c>
      <c r="K19" s="962">
        <f t="shared" ref="K19:K25" si="19">+IF(C19-B19&gt;0,ABS(C19-B19),0)</f>
        <v>632.14899999999989</v>
      </c>
      <c r="L19" s="963">
        <f t="shared" ref="L19:L25" si="20">+IF(C19-B19&lt;0,ABS(C19-B19),0)</f>
        <v>0</v>
      </c>
      <c r="M19" s="962">
        <f t="shared" ref="M19:M25" si="21">+IF(D19-C19&gt;0,ABS(D19-C19),0)</f>
        <v>0</v>
      </c>
      <c r="N19" s="963">
        <f t="shared" ref="N19:N25" si="22">+IF(D19-C19&lt;0,ABS(D19-C19),0)</f>
        <v>751.96299999999997</v>
      </c>
      <c r="O19" s="962">
        <f t="shared" ref="O19:O25" si="23">+IF(E19-D19&gt;0,ABS(E19-D19),0)</f>
        <v>0</v>
      </c>
      <c r="P19" s="963">
        <f t="shared" ref="P19:P25" si="24">+IF(E19-D19&lt;0,ABS(E19-D19),0)</f>
        <v>8.1959999999999127</v>
      </c>
      <c r="Q19" s="962">
        <f t="shared" ref="Q19:Q25" si="25">+IF(F19-E19&gt;0,ABS(F19-E19),0)</f>
        <v>0</v>
      </c>
      <c r="R19" s="963">
        <f t="shared" ref="R19:R25" si="26">+IF(F19-E19&lt;0,ABS(F19-E19),0)</f>
        <v>44.258000000000038</v>
      </c>
      <c r="S19" s="962">
        <f t="shared" ref="S19:S25" si="27">+IF(G19-F19&gt;0,ABS(G19-F19),0)</f>
        <v>0</v>
      </c>
      <c r="T19" s="963">
        <f t="shared" ref="T19:T25" si="28">+IF(G19-F19&lt;0,ABS(G19-F19),0)</f>
        <v>92.096000000000004</v>
      </c>
      <c r="U19" s="962">
        <f t="shared" ref="U19:U25" si="29">+IF(H19-G19&gt;0,ABS(H19-G19),0)</f>
        <v>842.45700000000011</v>
      </c>
      <c r="V19" s="963">
        <f t="shared" ref="V19:V25" si="30">+IF(H19-G19&lt;0,ABS(H19-G19),0)</f>
        <v>0</v>
      </c>
      <c r="W19" s="962">
        <f t="shared" ref="W19:W25" si="31">+IF(I19-H19&gt;0,ABS(I19-H19),0)</f>
        <v>1939.9079999999999</v>
      </c>
      <c r="X19" s="963">
        <f t="shared" ref="X19:X25" si="32">+IF(I19-H19&lt;0,ABS(I19-H19),0)</f>
        <v>0</v>
      </c>
      <c r="Y19" s="962">
        <f t="shared" ref="Y19:Y25" si="33">+IF(J19-I19&gt;0,ABS(J19-I19),0)</f>
        <v>0</v>
      </c>
      <c r="Z19" s="963">
        <f t="shared" ref="Z19:Z25" si="34">+IF(J19-I19&lt;0,ABS(J19-I19),0)</f>
        <v>710.21099999999979</v>
      </c>
      <c r="AA19" s="867"/>
    </row>
    <row r="20" spans="1:27" s="64" customFormat="1" ht="15">
      <c r="A20" s="961" t="s">
        <v>1052</v>
      </c>
      <c r="B20" s="939">
        <f>+FER!B44</f>
        <v>3021.3969999999999</v>
      </c>
      <c r="C20" s="939">
        <f>+FER!C44</f>
        <v>3203.2130000000002</v>
      </c>
      <c r="D20" s="939">
        <f>+FER!D44</f>
        <v>4028.9479999999999</v>
      </c>
      <c r="E20" s="939">
        <f>+FER!E44</f>
        <v>4756.0510000000004</v>
      </c>
      <c r="F20" s="939">
        <f>+FER!F44</f>
        <v>19011.383000000002</v>
      </c>
      <c r="G20" s="939">
        <f>+FER!G44</f>
        <v>18790.452000000001</v>
      </c>
      <c r="H20" s="939">
        <f>+FER!H44</f>
        <v>6157.18</v>
      </c>
      <c r="I20" s="939">
        <f>+FER!I44</f>
        <v>23456</v>
      </c>
      <c r="J20" s="939">
        <f>+FER!J44</f>
        <v>46494.622000000003</v>
      </c>
      <c r="K20" s="962">
        <f t="shared" si="19"/>
        <v>181.81600000000026</v>
      </c>
      <c r="L20" s="963">
        <f t="shared" si="20"/>
        <v>0</v>
      </c>
      <c r="M20" s="962">
        <f t="shared" si="21"/>
        <v>825.73499999999967</v>
      </c>
      <c r="N20" s="963">
        <f t="shared" si="22"/>
        <v>0</v>
      </c>
      <c r="O20" s="962">
        <f t="shared" si="23"/>
        <v>727.10300000000052</v>
      </c>
      <c r="P20" s="963">
        <f t="shared" si="24"/>
        <v>0</v>
      </c>
      <c r="Q20" s="962">
        <f t="shared" si="25"/>
        <v>14255.332000000002</v>
      </c>
      <c r="R20" s="963">
        <f t="shared" si="26"/>
        <v>0</v>
      </c>
      <c r="S20" s="962">
        <f t="shared" si="27"/>
        <v>0</v>
      </c>
      <c r="T20" s="963">
        <f t="shared" si="28"/>
        <v>220.93100000000049</v>
      </c>
      <c r="U20" s="962">
        <f t="shared" si="29"/>
        <v>0</v>
      </c>
      <c r="V20" s="963">
        <f t="shared" si="30"/>
        <v>12633.272000000001</v>
      </c>
      <c r="W20" s="962">
        <f t="shared" si="31"/>
        <v>17298.82</v>
      </c>
      <c r="X20" s="963">
        <f t="shared" si="32"/>
        <v>0</v>
      </c>
      <c r="Y20" s="962">
        <f t="shared" si="33"/>
        <v>23038.622000000003</v>
      </c>
      <c r="Z20" s="963">
        <f t="shared" si="34"/>
        <v>0</v>
      </c>
      <c r="AA20" s="867"/>
    </row>
    <row r="21" spans="1:27" s="64" customFormat="1" ht="15">
      <c r="A21" s="961" t="s">
        <v>1053</v>
      </c>
      <c r="B21" s="939">
        <f>+FER!B45</f>
        <v>1991.4949999999999</v>
      </c>
      <c r="C21" s="939">
        <f>+FER!C45</f>
        <v>2734.1559999999999</v>
      </c>
      <c r="D21" s="939">
        <f>+FER!D45</f>
        <v>6733.8</v>
      </c>
      <c r="E21" s="939">
        <f>+FER!E45</f>
        <v>3592.4949999999999</v>
      </c>
      <c r="F21" s="939">
        <f>+FER!F45</f>
        <v>3579.42</v>
      </c>
      <c r="G21" s="939">
        <f>+FER!G45</f>
        <v>3865.991</v>
      </c>
      <c r="H21" s="939">
        <f>+FER!H45</f>
        <v>4070.431</v>
      </c>
      <c r="I21" s="939">
        <f>+FER!I45</f>
        <v>4336</v>
      </c>
      <c r="J21" s="939">
        <f>+FER!J45</f>
        <v>5001.5959999999995</v>
      </c>
      <c r="K21" s="962">
        <f t="shared" si="19"/>
        <v>742.66100000000006</v>
      </c>
      <c r="L21" s="963">
        <f t="shared" si="20"/>
        <v>0</v>
      </c>
      <c r="M21" s="962">
        <f t="shared" si="21"/>
        <v>3999.6440000000002</v>
      </c>
      <c r="N21" s="963">
        <f t="shared" si="22"/>
        <v>0</v>
      </c>
      <c r="O21" s="962">
        <f t="shared" si="23"/>
        <v>0</v>
      </c>
      <c r="P21" s="963">
        <f t="shared" si="24"/>
        <v>3141.3050000000003</v>
      </c>
      <c r="Q21" s="962">
        <f t="shared" si="25"/>
        <v>0</v>
      </c>
      <c r="R21" s="963">
        <f t="shared" si="26"/>
        <v>13.074999999999818</v>
      </c>
      <c r="S21" s="962">
        <f t="shared" si="27"/>
        <v>286.57099999999991</v>
      </c>
      <c r="T21" s="963">
        <f t="shared" si="28"/>
        <v>0</v>
      </c>
      <c r="U21" s="962">
        <f t="shared" si="29"/>
        <v>204.44000000000005</v>
      </c>
      <c r="V21" s="963">
        <f t="shared" si="30"/>
        <v>0</v>
      </c>
      <c r="W21" s="962">
        <f t="shared" si="31"/>
        <v>265.56899999999996</v>
      </c>
      <c r="X21" s="963">
        <f t="shared" si="32"/>
        <v>0</v>
      </c>
      <c r="Y21" s="962">
        <f t="shared" si="33"/>
        <v>665.59599999999955</v>
      </c>
      <c r="Z21" s="963">
        <f t="shared" si="34"/>
        <v>0</v>
      </c>
      <c r="AA21" s="867"/>
    </row>
    <row r="22" spans="1:27" s="64" customFormat="1" ht="15">
      <c r="A22" s="961" t="s">
        <v>1054</v>
      </c>
      <c r="B22" s="939">
        <f>+FER!B46</f>
        <v>2072.5230000000001</v>
      </c>
      <c r="C22" s="939">
        <f>+FER!C46</f>
        <v>2162.9569999999999</v>
      </c>
      <c r="D22" s="939">
        <f>+FER!D46</f>
        <v>2466.0500000000002</v>
      </c>
      <c r="E22" s="939">
        <f>+FER!E46</f>
        <v>2866.3739999999998</v>
      </c>
      <c r="F22" s="939">
        <f>+FER!F46</f>
        <v>3009.8159999999998</v>
      </c>
      <c r="G22" s="939">
        <f>+FER!G46</f>
        <v>3144.3380000000002</v>
      </c>
      <c r="H22" s="939">
        <f>+FER!H46</f>
        <v>3301.1880000000001</v>
      </c>
      <c r="I22" s="939">
        <f>+FER!I46</f>
        <v>3760</v>
      </c>
      <c r="J22" s="939">
        <f>+FER!J46</f>
        <v>4072.259</v>
      </c>
      <c r="K22" s="962">
        <f t="shared" si="19"/>
        <v>90.433999999999742</v>
      </c>
      <c r="L22" s="963">
        <f t="shared" si="20"/>
        <v>0</v>
      </c>
      <c r="M22" s="962">
        <f t="shared" si="21"/>
        <v>303.0930000000003</v>
      </c>
      <c r="N22" s="963">
        <f t="shared" si="22"/>
        <v>0</v>
      </c>
      <c r="O22" s="962">
        <f t="shared" si="23"/>
        <v>400.32399999999961</v>
      </c>
      <c r="P22" s="963">
        <f t="shared" si="24"/>
        <v>0</v>
      </c>
      <c r="Q22" s="962">
        <f t="shared" si="25"/>
        <v>143.44200000000001</v>
      </c>
      <c r="R22" s="963">
        <f t="shared" si="26"/>
        <v>0</v>
      </c>
      <c r="S22" s="962">
        <f t="shared" si="27"/>
        <v>134.52200000000039</v>
      </c>
      <c r="T22" s="963">
        <f t="shared" si="28"/>
        <v>0</v>
      </c>
      <c r="U22" s="962">
        <f t="shared" si="29"/>
        <v>156.84999999999991</v>
      </c>
      <c r="V22" s="963">
        <f t="shared" si="30"/>
        <v>0</v>
      </c>
      <c r="W22" s="962">
        <f t="shared" si="31"/>
        <v>458.8119999999999</v>
      </c>
      <c r="X22" s="963">
        <f t="shared" si="32"/>
        <v>0</v>
      </c>
      <c r="Y22" s="962">
        <f t="shared" si="33"/>
        <v>312.25900000000001</v>
      </c>
      <c r="Z22" s="963">
        <f t="shared" si="34"/>
        <v>0</v>
      </c>
      <c r="AA22" s="867"/>
    </row>
    <row r="23" spans="1:27" s="64" customFormat="1" ht="15">
      <c r="A23" s="961" t="s">
        <v>1055</v>
      </c>
      <c r="B23" s="939">
        <f>+FER!B47</f>
        <v>3818.7040000000002</v>
      </c>
      <c r="C23" s="939">
        <f>+FER!C47</f>
        <v>4682.5680000000002</v>
      </c>
      <c r="D23" s="939">
        <f>+FER!D47</f>
        <v>5600.3770000000004</v>
      </c>
      <c r="E23" s="939">
        <f>+FER!E47</f>
        <v>6581.3789999999999</v>
      </c>
      <c r="F23" s="939">
        <f>+FER!F47</f>
        <v>6445.9440000000004</v>
      </c>
      <c r="G23" s="939">
        <f>+FER!G47</f>
        <v>7701.1189999999997</v>
      </c>
      <c r="H23" s="939">
        <f>+FER!H47</f>
        <v>7019.6139999999996</v>
      </c>
      <c r="I23" s="939">
        <f>+FER!I47</f>
        <v>7994</v>
      </c>
      <c r="J23" s="939">
        <f>+FER!J47</f>
        <v>6345.9559999999992</v>
      </c>
      <c r="K23" s="962">
        <f t="shared" si="19"/>
        <v>863.86400000000003</v>
      </c>
      <c r="L23" s="963">
        <f t="shared" si="20"/>
        <v>0</v>
      </c>
      <c r="M23" s="962">
        <f t="shared" si="21"/>
        <v>917.8090000000002</v>
      </c>
      <c r="N23" s="963">
        <f t="shared" si="22"/>
        <v>0</v>
      </c>
      <c r="O23" s="962">
        <f t="shared" si="23"/>
        <v>981.0019999999995</v>
      </c>
      <c r="P23" s="963">
        <f t="shared" si="24"/>
        <v>0</v>
      </c>
      <c r="Q23" s="962">
        <f t="shared" si="25"/>
        <v>0</v>
      </c>
      <c r="R23" s="963">
        <f t="shared" si="26"/>
        <v>135.43499999999949</v>
      </c>
      <c r="S23" s="962">
        <f t="shared" si="27"/>
        <v>1255.1749999999993</v>
      </c>
      <c r="T23" s="963">
        <f t="shared" si="28"/>
        <v>0</v>
      </c>
      <c r="U23" s="962">
        <f t="shared" si="29"/>
        <v>0</v>
      </c>
      <c r="V23" s="963">
        <f t="shared" si="30"/>
        <v>681.50500000000011</v>
      </c>
      <c r="W23" s="962">
        <f t="shared" si="31"/>
        <v>974.38600000000042</v>
      </c>
      <c r="X23" s="963">
        <f t="shared" si="32"/>
        <v>0</v>
      </c>
      <c r="Y23" s="962">
        <f t="shared" si="33"/>
        <v>0</v>
      </c>
      <c r="Z23" s="963">
        <f t="shared" si="34"/>
        <v>1648.0440000000008</v>
      </c>
      <c r="AA23" s="867"/>
    </row>
    <row r="24" spans="1:27" s="64" customFormat="1" ht="15">
      <c r="A24" s="961" t="s">
        <v>1056</v>
      </c>
      <c r="B24" s="939">
        <f>+FER!B48</f>
        <v>2727.527</v>
      </c>
      <c r="C24" s="939">
        <f>+FER!C48</f>
        <v>2877.62</v>
      </c>
      <c r="D24" s="939">
        <f>+FER!D48</f>
        <v>1977.67</v>
      </c>
      <c r="E24" s="939">
        <f>+FER!E48</f>
        <v>2385.5329999999999</v>
      </c>
      <c r="F24" s="939">
        <f>+FER!F48</f>
        <v>3556.047</v>
      </c>
      <c r="G24" s="939">
        <f>+FER!G48</f>
        <v>2015.712</v>
      </c>
      <c r="H24" s="939">
        <f>+FER!H48</f>
        <v>1469.944</v>
      </c>
      <c r="I24" s="939">
        <f>+FER!I48</f>
        <v>929</v>
      </c>
      <c r="J24" s="939">
        <f>+FER!J48</f>
        <v>938.81399999999996</v>
      </c>
      <c r="K24" s="962">
        <f t="shared" si="19"/>
        <v>150.09299999999985</v>
      </c>
      <c r="L24" s="963">
        <f t="shared" si="20"/>
        <v>0</v>
      </c>
      <c r="M24" s="962">
        <f t="shared" si="21"/>
        <v>0</v>
      </c>
      <c r="N24" s="963">
        <f t="shared" si="22"/>
        <v>899.94999999999982</v>
      </c>
      <c r="O24" s="962">
        <f t="shared" si="23"/>
        <v>407.86299999999983</v>
      </c>
      <c r="P24" s="963">
        <f t="shared" si="24"/>
        <v>0</v>
      </c>
      <c r="Q24" s="962">
        <f t="shared" si="25"/>
        <v>1170.5140000000001</v>
      </c>
      <c r="R24" s="963">
        <f t="shared" si="26"/>
        <v>0</v>
      </c>
      <c r="S24" s="962">
        <f t="shared" si="27"/>
        <v>0</v>
      </c>
      <c r="T24" s="963">
        <f t="shared" si="28"/>
        <v>1540.335</v>
      </c>
      <c r="U24" s="962">
        <f t="shared" si="29"/>
        <v>0</v>
      </c>
      <c r="V24" s="963">
        <f t="shared" si="30"/>
        <v>545.76800000000003</v>
      </c>
      <c r="W24" s="962">
        <f t="shared" si="31"/>
        <v>0</v>
      </c>
      <c r="X24" s="963">
        <f t="shared" si="32"/>
        <v>540.94399999999996</v>
      </c>
      <c r="Y24" s="962">
        <f t="shared" si="33"/>
        <v>9.8139999999999645</v>
      </c>
      <c r="Z24" s="963">
        <f t="shared" si="34"/>
        <v>0</v>
      </c>
      <c r="AA24" s="867"/>
    </row>
    <row r="25" spans="1:27" s="64" customFormat="1" ht="15.75" thickBot="1">
      <c r="A25" s="961" t="s">
        <v>1057</v>
      </c>
      <c r="B25" s="939">
        <f>+FER!B49</f>
        <v>0</v>
      </c>
      <c r="C25" s="939">
        <f>+FER!C49</f>
        <v>0</v>
      </c>
      <c r="D25" s="939">
        <f>+FER!D49</f>
        <v>0</v>
      </c>
      <c r="E25" s="939">
        <f>+FER!E49</f>
        <v>0</v>
      </c>
      <c r="F25" s="939">
        <f>+FER!F49</f>
        <v>0</v>
      </c>
      <c r="G25" s="939">
        <f>+FER!G49</f>
        <v>0</v>
      </c>
      <c r="H25" s="939">
        <f>+FER!H49</f>
        <v>0</v>
      </c>
      <c r="I25" s="939">
        <f>+FER!I49</f>
        <v>0</v>
      </c>
      <c r="J25" s="939">
        <f>+FER!J49</f>
        <v>0</v>
      </c>
      <c r="K25" s="962">
        <f t="shared" si="19"/>
        <v>0</v>
      </c>
      <c r="L25" s="963">
        <f t="shared" si="20"/>
        <v>0</v>
      </c>
      <c r="M25" s="962">
        <f t="shared" si="21"/>
        <v>0</v>
      </c>
      <c r="N25" s="963">
        <f t="shared" si="22"/>
        <v>0</v>
      </c>
      <c r="O25" s="962">
        <f t="shared" si="23"/>
        <v>0</v>
      </c>
      <c r="P25" s="963">
        <f t="shared" si="24"/>
        <v>0</v>
      </c>
      <c r="Q25" s="962">
        <f t="shared" si="25"/>
        <v>0</v>
      </c>
      <c r="R25" s="963">
        <f t="shared" si="26"/>
        <v>0</v>
      </c>
      <c r="S25" s="962">
        <f t="shared" si="27"/>
        <v>0</v>
      </c>
      <c r="T25" s="963">
        <f t="shared" si="28"/>
        <v>0</v>
      </c>
      <c r="U25" s="962">
        <f t="shared" si="29"/>
        <v>0</v>
      </c>
      <c r="V25" s="963">
        <f t="shared" si="30"/>
        <v>0</v>
      </c>
      <c r="W25" s="962">
        <f t="shared" si="31"/>
        <v>0</v>
      </c>
      <c r="X25" s="963">
        <f t="shared" si="32"/>
        <v>0</v>
      </c>
      <c r="Y25" s="962">
        <f t="shared" si="33"/>
        <v>0</v>
      </c>
      <c r="Z25" s="963">
        <f t="shared" si="34"/>
        <v>0</v>
      </c>
      <c r="AA25" s="867"/>
    </row>
    <row r="26" spans="1:27" s="64" customFormat="1" ht="15.75" thickBot="1">
      <c r="A26" s="964" t="s">
        <v>786</v>
      </c>
      <c r="B26" s="965">
        <f>SUM(B18:B25)</f>
        <v>14924.645</v>
      </c>
      <c r="C26" s="965">
        <f t="shared" ref="C26:J26" si="35">SUM(C18:C25)</f>
        <v>17585.662</v>
      </c>
      <c r="D26" s="965">
        <f t="shared" si="35"/>
        <v>21980.03</v>
      </c>
      <c r="E26" s="965">
        <f t="shared" si="35"/>
        <v>21346.821</v>
      </c>
      <c r="F26" s="965">
        <f t="shared" si="35"/>
        <v>36723.341</v>
      </c>
      <c r="G26" s="965">
        <f t="shared" si="35"/>
        <v>36546.247000000003</v>
      </c>
      <c r="H26" s="965">
        <f t="shared" si="35"/>
        <v>23889.449000000001</v>
      </c>
      <c r="I26" s="965">
        <f t="shared" si="35"/>
        <v>44286</v>
      </c>
      <c r="J26" s="965">
        <f t="shared" si="35"/>
        <v>65954.035999999993</v>
      </c>
      <c r="K26" s="966"/>
      <c r="L26" s="967"/>
      <c r="M26" s="967"/>
      <c r="N26" s="967"/>
      <c r="O26" s="967"/>
      <c r="P26" s="967"/>
      <c r="Q26" s="967"/>
      <c r="R26" s="967"/>
      <c r="S26" s="967"/>
      <c r="T26" s="967"/>
      <c r="U26" s="967"/>
      <c r="V26" s="967"/>
      <c r="W26" s="967"/>
      <c r="X26" s="967"/>
      <c r="Y26" s="967"/>
      <c r="Z26" s="967"/>
      <c r="AA26" s="867" t="s">
        <v>710</v>
      </c>
    </row>
    <row r="27" spans="1:27" s="64" customFormat="1" ht="15">
      <c r="A27" s="938" t="s">
        <v>1058</v>
      </c>
      <c r="B27" s="939">
        <f>+FER!B51</f>
        <v>0</v>
      </c>
      <c r="C27" s="939">
        <f>+FER!C51</f>
        <v>0</v>
      </c>
      <c r="D27" s="939">
        <f>+FER!D51</f>
        <v>0</v>
      </c>
      <c r="E27" s="939">
        <f>+FER!E51</f>
        <v>0</v>
      </c>
      <c r="F27" s="939">
        <f>+FER!F51</f>
        <v>0</v>
      </c>
      <c r="G27" s="939">
        <f>+FER!G51</f>
        <v>0</v>
      </c>
      <c r="H27" s="939">
        <f>+FER!H51</f>
        <v>0</v>
      </c>
      <c r="I27" s="939">
        <f>+FER!I51</f>
        <v>0</v>
      </c>
      <c r="J27" s="939">
        <f>+FER!J51</f>
        <v>0</v>
      </c>
      <c r="K27" s="962">
        <f t="shared" ref="K27:K32" si="36">+IF(C27-B27&gt;0,ABS(C27-B27),0)</f>
        <v>0</v>
      </c>
      <c r="L27" s="963">
        <f t="shared" ref="L27:L32" si="37">+IF(C27-B27&lt;0,ABS(C27-B27),0)</f>
        <v>0</v>
      </c>
      <c r="M27" s="962">
        <f t="shared" ref="M27:M32" si="38">+IF(D27-C27&gt;0,ABS(D27-C27),0)</f>
        <v>0</v>
      </c>
      <c r="N27" s="963">
        <f t="shared" ref="N27:N32" si="39">+IF(D27-C27&lt;0,ABS(D27-C27),0)</f>
        <v>0</v>
      </c>
      <c r="O27" s="962">
        <f t="shared" ref="O27:O32" si="40">+IF(E27-D27&gt;0,ABS(E27-D27),0)</f>
        <v>0</v>
      </c>
      <c r="P27" s="963">
        <f t="shared" ref="P27:P32" si="41">+IF(E27-D27&lt;0,ABS(E27-D27),0)</f>
        <v>0</v>
      </c>
      <c r="Q27" s="962">
        <f t="shared" ref="Q27:Q32" si="42">+IF(F27-E27&gt;0,ABS(F27-E27),0)</f>
        <v>0</v>
      </c>
      <c r="R27" s="963">
        <f t="shared" ref="R27:R32" si="43">+IF(F27-E27&lt;0,ABS(F27-E27),0)</f>
        <v>0</v>
      </c>
      <c r="S27" s="962">
        <f t="shared" ref="S27:S32" si="44">+IF(G27-F27&gt;0,ABS(G27-F27),0)</f>
        <v>0</v>
      </c>
      <c r="T27" s="963">
        <f t="shared" ref="T27:T32" si="45">+IF(G27-F27&lt;0,ABS(G27-F27),0)</f>
        <v>0</v>
      </c>
      <c r="U27" s="962">
        <f t="shared" ref="U27:U32" si="46">+IF(H27-G27&gt;0,ABS(H27-G27),0)</f>
        <v>0</v>
      </c>
      <c r="V27" s="963">
        <f t="shared" ref="V27:V32" si="47">+IF(H27-G27&lt;0,ABS(H27-G27),0)</f>
        <v>0</v>
      </c>
      <c r="W27" s="962">
        <f t="shared" ref="W27:W32" si="48">+IF(I27-H27&gt;0,ABS(I27-H27),0)</f>
        <v>0</v>
      </c>
      <c r="X27" s="963">
        <f t="shared" ref="X27:X32" si="49">+IF(I27-H27&lt;0,ABS(I27-H27),0)</f>
        <v>0</v>
      </c>
      <c r="Y27" s="962">
        <f t="shared" ref="Y27:Y32" si="50">+IF(J27-I27&gt;0,ABS(J27-I27),0)</f>
        <v>0</v>
      </c>
      <c r="Z27" s="963">
        <f t="shared" ref="Z27:Z32" si="51">+IF(J27-I27&lt;0,ABS(J27-I27),0)</f>
        <v>0</v>
      </c>
      <c r="AA27" s="867"/>
    </row>
    <row r="28" spans="1:27" s="64" customFormat="1" ht="15">
      <c r="A28" s="938" t="s">
        <v>1059</v>
      </c>
      <c r="B28" s="939">
        <f>+FER!B52</f>
        <v>0</v>
      </c>
      <c r="C28" s="939">
        <f>+FER!C52</f>
        <v>0</v>
      </c>
      <c r="D28" s="939">
        <f>+FER!D52</f>
        <v>0</v>
      </c>
      <c r="E28" s="939">
        <f>+FER!E52</f>
        <v>0</v>
      </c>
      <c r="F28" s="939">
        <f>+FER!F52</f>
        <v>0</v>
      </c>
      <c r="G28" s="939">
        <f>+FER!G52</f>
        <v>0</v>
      </c>
      <c r="H28" s="939">
        <f>+FER!H52</f>
        <v>0</v>
      </c>
      <c r="I28" s="939">
        <f>+FER!I52</f>
        <v>0</v>
      </c>
      <c r="J28" s="939">
        <f>+FER!J52</f>
        <v>0</v>
      </c>
      <c r="K28" s="962">
        <f t="shared" si="36"/>
        <v>0</v>
      </c>
      <c r="L28" s="963">
        <f t="shared" si="37"/>
        <v>0</v>
      </c>
      <c r="M28" s="962">
        <f t="shared" si="38"/>
        <v>0</v>
      </c>
      <c r="N28" s="963">
        <f t="shared" si="39"/>
        <v>0</v>
      </c>
      <c r="O28" s="962">
        <f t="shared" si="40"/>
        <v>0</v>
      </c>
      <c r="P28" s="963">
        <f t="shared" si="41"/>
        <v>0</v>
      </c>
      <c r="Q28" s="962">
        <f t="shared" si="42"/>
        <v>0</v>
      </c>
      <c r="R28" s="963">
        <f t="shared" si="43"/>
        <v>0</v>
      </c>
      <c r="S28" s="962">
        <f t="shared" si="44"/>
        <v>0</v>
      </c>
      <c r="T28" s="963">
        <f t="shared" si="45"/>
        <v>0</v>
      </c>
      <c r="U28" s="962">
        <f t="shared" si="46"/>
        <v>0</v>
      </c>
      <c r="V28" s="963">
        <f t="shared" si="47"/>
        <v>0</v>
      </c>
      <c r="W28" s="962">
        <f t="shared" si="48"/>
        <v>0</v>
      </c>
      <c r="X28" s="963">
        <f t="shared" si="49"/>
        <v>0</v>
      </c>
      <c r="Y28" s="962">
        <f t="shared" si="50"/>
        <v>0</v>
      </c>
      <c r="Z28" s="963">
        <f t="shared" si="51"/>
        <v>0</v>
      </c>
      <c r="AA28" s="867"/>
    </row>
    <row r="29" spans="1:27" s="64" customFormat="1" ht="15">
      <c r="A29" s="938" t="s">
        <v>1060</v>
      </c>
      <c r="B29" s="939">
        <f>+FER!B53</f>
        <v>0</v>
      </c>
      <c r="C29" s="939">
        <f>+FER!C53</f>
        <v>0</v>
      </c>
      <c r="D29" s="939">
        <f>+FER!D53</f>
        <v>0</v>
      </c>
      <c r="E29" s="939">
        <f>+FER!E53</f>
        <v>0</v>
      </c>
      <c r="F29" s="939">
        <f>+FER!F53</f>
        <v>0</v>
      </c>
      <c r="G29" s="939">
        <f>+FER!G53</f>
        <v>0</v>
      </c>
      <c r="H29" s="939">
        <f>+FER!H53</f>
        <v>0</v>
      </c>
      <c r="I29" s="939">
        <f>+FER!I53</f>
        <v>283</v>
      </c>
      <c r="J29" s="939">
        <f>+FER!J53</f>
        <v>0</v>
      </c>
      <c r="K29" s="962">
        <f t="shared" si="36"/>
        <v>0</v>
      </c>
      <c r="L29" s="963">
        <f t="shared" si="37"/>
        <v>0</v>
      </c>
      <c r="M29" s="962">
        <f t="shared" si="38"/>
        <v>0</v>
      </c>
      <c r="N29" s="963">
        <f t="shared" si="39"/>
        <v>0</v>
      </c>
      <c r="O29" s="962">
        <f t="shared" si="40"/>
        <v>0</v>
      </c>
      <c r="P29" s="963">
        <f t="shared" si="41"/>
        <v>0</v>
      </c>
      <c r="Q29" s="962">
        <f t="shared" si="42"/>
        <v>0</v>
      </c>
      <c r="R29" s="963">
        <f t="shared" si="43"/>
        <v>0</v>
      </c>
      <c r="S29" s="962">
        <f t="shared" si="44"/>
        <v>0</v>
      </c>
      <c r="T29" s="963">
        <f t="shared" si="45"/>
        <v>0</v>
      </c>
      <c r="U29" s="962">
        <f t="shared" si="46"/>
        <v>0</v>
      </c>
      <c r="V29" s="963">
        <f t="shared" si="47"/>
        <v>0</v>
      </c>
      <c r="W29" s="962">
        <f t="shared" si="48"/>
        <v>283</v>
      </c>
      <c r="X29" s="963">
        <f t="shared" si="49"/>
        <v>0</v>
      </c>
      <c r="Y29" s="962">
        <f t="shared" si="50"/>
        <v>0</v>
      </c>
      <c r="Z29" s="963">
        <f t="shared" si="51"/>
        <v>283</v>
      </c>
      <c r="AA29" s="867"/>
    </row>
    <row r="30" spans="1:27" s="64" customFormat="1" ht="15">
      <c r="A30" s="938" t="s">
        <v>1061</v>
      </c>
      <c r="B30" s="939">
        <f>+FER!B54</f>
        <v>0</v>
      </c>
      <c r="C30" s="939">
        <f>+FER!C54</f>
        <v>0</v>
      </c>
      <c r="D30" s="939">
        <f>+FER!D54</f>
        <v>0</v>
      </c>
      <c r="E30" s="939">
        <f>+FER!E54</f>
        <v>0</v>
      </c>
      <c r="F30" s="939">
        <f>+FER!F54</f>
        <v>0</v>
      </c>
      <c r="G30" s="939">
        <f>+FER!G54</f>
        <v>0</v>
      </c>
      <c r="H30" s="939">
        <f>+FER!H54</f>
        <v>1276.5730000000001</v>
      </c>
      <c r="I30" s="939">
        <f>+FER!I54</f>
        <v>0</v>
      </c>
      <c r="J30" s="939">
        <f>+FER!J54</f>
        <v>0</v>
      </c>
      <c r="K30" s="962">
        <f t="shared" si="36"/>
        <v>0</v>
      </c>
      <c r="L30" s="963">
        <f t="shared" si="37"/>
        <v>0</v>
      </c>
      <c r="M30" s="962">
        <f t="shared" si="38"/>
        <v>0</v>
      </c>
      <c r="N30" s="963">
        <f t="shared" si="39"/>
        <v>0</v>
      </c>
      <c r="O30" s="962">
        <f t="shared" si="40"/>
        <v>0</v>
      </c>
      <c r="P30" s="963">
        <f t="shared" si="41"/>
        <v>0</v>
      </c>
      <c r="Q30" s="962">
        <f t="shared" si="42"/>
        <v>0</v>
      </c>
      <c r="R30" s="963">
        <f t="shared" si="43"/>
        <v>0</v>
      </c>
      <c r="S30" s="962">
        <f t="shared" si="44"/>
        <v>0</v>
      </c>
      <c r="T30" s="963">
        <f t="shared" si="45"/>
        <v>0</v>
      </c>
      <c r="U30" s="962">
        <f t="shared" si="46"/>
        <v>1276.5730000000001</v>
      </c>
      <c r="V30" s="963">
        <f t="shared" si="47"/>
        <v>0</v>
      </c>
      <c r="W30" s="962">
        <f t="shared" si="48"/>
        <v>0</v>
      </c>
      <c r="X30" s="963">
        <f t="shared" si="49"/>
        <v>1276.5730000000001</v>
      </c>
      <c r="Y30" s="962">
        <f t="shared" si="50"/>
        <v>0</v>
      </c>
      <c r="Z30" s="963">
        <f t="shared" si="51"/>
        <v>0</v>
      </c>
      <c r="AA30" s="867"/>
    </row>
    <row r="31" spans="1:27" s="64" customFormat="1" ht="15">
      <c r="A31" s="938" t="s">
        <v>1062</v>
      </c>
      <c r="B31" s="939">
        <f>+FER!B55</f>
        <v>0</v>
      </c>
      <c r="C31" s="939">
        <f>+FER!C55</f>
        <v>0</v>
      </c>
      <c r="D31" s="939">
        <f>+FER!D55</f>
        <v>0</v>
      </c>
      <c r="E31" s="939">
        <f>+FER!E55</f>
        <v>0</v>
      </c>
      <c r="F31" s="939">
        <f>+FER!F55</f>
        <v>0</v>
      </c>
      <c r="G31" s="939">
        <f>+FER!G55</f>
        <v>0</v>
      </c>
      <c r="H31" s="939">
        <f>+FER!H55</f>
        <v>0</v>
      </c>
      <c r="I31" s="939">
        <f>+FER!I55</f>
        <v>0</v>
      </c>
      <c r="J31" s="939">
        <f>+FER!J55</f>
        <v>0</v>
      </c>
      <c r="K31" s="962">
        <f t="shared" si="36"/>
        <v>0</v>
      </c>
      <c r="L31" s="963">
        <f t="shared" si="37"/>
        <v>0</v>
      </c>
      <c r="M31" s="962">
        <f t="shared" si="38"/>
        <v>0</v>
      </c>
      <c r="N31" s="963">
        <f t="shared" si="39"/>
        <v>0</v>
      </c>
      <c r="O31" s="962">
        <f t="shared" si="40"/>
        <v>0</v>
      </c>
      <c r="P31" s="963">
        <f t="shared" si="41"/>
        <v>0</v>
      </c>
      <c r="Q31" s="962">
        <f t="shared" si="42"/>
        <v>0</v>
      </c>
      <c r="R31" s="963">
        <f t="shared" si="43"/>
        <v>0</v>
      </c>
      <c r="S31" s="962">
        <f t="shared" si="44"/>
        <v>0</v>
      </c>
      <c r="T31" s="963">
        <f t="shared" si="45"/>
        <v>0</v>
      </c>
      <c r="U31" s="962">
        <f t="shared" si="46"/>
        <v>0</v>
      </c>
      <c r="V31" s="963">
        <f t="shared" si="47"/>
        <v>0</v>
      </c>
      <c r="W31" s="962">
        <f t="shared" si="48"/>
        <v>0</v>
      </c>
      <c r="X31" s="963">
        <f t="shared" si="49"/>
        <v>0</v>
      </c>
      <c r="Y31" s="962">
        <f t="shared" si="50"/>
        <v>0</v>
      </c>
      <c r="Z31" s="963">
        <f t="shared" si="51"/>
        <v>0</v>
      </c>
      <c r="AA31" s="867"/>
    </row>
    <row r="32" spans="1:27" s="64" customFormat="1" ht="15.75" thickBot="1">
      <c r="A32" s="938" t="s">
        <v>1063</v>
      </c>
      <c r="B32" s="939">
        <f>+FER!B56</f>
        <v>0</v>
      </c>
      <c r="C32" s="939">
        <f>+FER!C56</f>
        <v>0</v>
      </c>
      <c r="D32" s="939">
        <f>+FER!D56</f>
        <v>0</v>
      </c>
      <c r="E32" s="939">
        <f>+FER!E56</f>
        <v>0</v>
      </c>
      <c r="F32" s="939">
        <f>+FER!F56</f>
        <v>0</v>
      </c>
      <c r="G32" s="939">
        <f>+FER!G56</f>
        <v>0</v>
      </c>
      <c r="H32" s="939">
        <f>+FER!H56</f>
        <v>0</v>
      </c>
      <c r="I32" s="939">
        <f>+FER!I56</f>
        <v>0</v>
      </c>
      <c r="J32" s="939">
        <f>+FER!J56</f>
        <v>0</v>
      </c>
      <c r="K32" s="962">
        <f t="shared" si="36"/>
        <v>0</v>
      </c>
      <c r="L32" s="963">
        <f t="shared" si="37"/>
        <v>0</v>
      </c>
      <c r="M32" s="962">
        <f t="shared" si="38"/>
        <v>0</v>
      </c>
      <c r="N32" s="963">
        <f t="shared" si="39"/>
        <v>0</v>
      </c>
      <c r="O32" s="962">
        <f t="shared" si="40"/>
        <v>0</v>
      </c>
      <c r="P32" s="963">
        <f t="shared" si="41"/>
        <v>0</v>
      </c>
      <c r="Q32" s="962">
        <f t="shared" si="42"/>
        <v>0</v>
      </c>
      <c r="R32" s="963">
        <f t="shared" si="43"/>
        <v>0</v>
      </c>
      <c r="S32" s="962">
        <f t="shared" si="44"/>
        <v>0</v>
      </c>
      <c r="T32" s="963">
        <f t="shared" si="45"/>
        <v>0</v>
      </c>
      <c r="U32" s="962">
        <f t="shared" si="46"/>
        <v>0</v>
      </c>
      <c r="V32" s="963">
        <f t="shared" si="47"/>
        <v>0</v>
      </c>
      <c r="W32" s="962">
        <f t="shared" si="48"/>
        <v>0</v>
      </c>
      <c r="X32" s="963">
        <f t="shared" si="49"/>
        <v>0</v>
      </c>
      <c r="Y32" s="962">
        <f t="shared" si="50"/>
        <v>0</v>
      </c>
      <c r="Z32" s="963">
        <f t="shared" si="51"/>
        <v>0</v>
      </c>
      <c r="AA32" s="867"/>
    </row>
    <row r="33" spans="1:27" s="64" customFormat="1" ht="15.75" thickBot="1">
      <c r="A33" s="964" t="s">
        <v>828</v>
      </c>
      <c r="B33" s="965">
        <f>SUM(B27:B32)</f>
        <v>0</v>
      </c>
      <c r="C33" s="965">
        <f t="shared" ref="C33:J33" si="52">SUM(C27:C32)</f>
        <v>0</v>
      </c>
      <c r="D33" s="965">
        <f t="shared" si="52"/>
        <v>0</v>
      </c>
      <c r="E33" s="965">
        <f t="shared" si="52"/>
        <v>0</v>
      </c>
      <c r="F33" s="965">
        <f t="shared" si="52"/>
        <v>0</v>
      </c>
      <c r="G33" s="965">
        <f t="shared" si="52"/>
        <v>0</v>
      </c>
      <c r="H33" s="965">
        <f t="shared" si="52"/>
        <v>1276.5730000000001</v>
      </c>
      <c r="I33" s="965">
        <f t="shared" si="52"/>
        <v>283</v>
      </c>
      <c r="J33" s="965">
        <f t="shared" si="52"/>
        <v>0</v>
      </c>
      <c r="K33" s="966"/>
      <c r="L33" s="967"/>
      <c r="M33" s="967"/>
      <c r="N33" s="967"/>
      <c r="O33" s="967"/>
      <c r="P33" s="967"/>
      <c r="Q33" s="967"/>
      <c r="R33" s="967"/>
      <c r="S33" s="967"/>
      <c r="T33" s="967"/>
      <c r="U33" s="967"/>
      <c r="V33" s="967"/>
      <c r="W33" s="967"/>
      <c r="X33" s="967"/>
      <c r="Y33" s="967"/>
      <c r="Z33" s="967"/>
      <c r="AA33" s="867"/>
    </row>
    <row r="34" spans="1:27" s="64" customFormat="1" ht="15.75" thickBot="1">
      <c r="A34" s="971" t="s">
        <v>63</v>
      </c>
      <c r="B34" s="948">
        <f>+B26+B33</f>
        <v>14924.645</v>
      </c>
      <c r="C34" s="948">
        <f t="shared" ref="C34:J34" si="53">+C26+C33</f>
        <v>17585.662</v>
      </c>
      <c r="D34" s="948">
        <f t="shared" si="53"/>
        <v>21980.03</v>
      </c>
      <c r="E34" s="948">
        <f t="shared" si="53"/>
        <v>21346.821</v>
      </c>
      <c r="F34" s="948">
        <f t="shared" si="53"/>
        <v>36723.341</v>
      </c>
      <c r="G34" s="948">
        <f t="shared" si="53"/>
        <v>36546.247000000003</v>
      </c>
      <c r="H34" s="948">
        <f t="shared" si="53"/>
        <v>25166.022000000001</v>
      </c>
      <c r="I34" s="948">
        <f t="shared" si="53"/>
        <v>44569</v>
      </c>
      <c r="J34" s="948">
        <f t="shared" si="53"/>
        <v>65954.035999999993</v>
      </c>
      <c r="K34" s="972"/>
      <c r="L34" s="973"/>
      <c r="M34" s="973"/>
      <c r="N34" s="973"/>
      <c r="O34" s="973"/>
      <c r="P34" s="973"/>
      <c r="Q34" s="973"/>
      <c r="R34" s="973"/>
      <c r="S34" s="973"/>
      <c r="T34" s="973"/>
      <c r="U34" s="973"/>
      <c r="V34" s="973"/>
      <c r="W34" s="973"/>
      <c r="X34" s="973"/>
      <c r="Y34" s="973"/>
      <c r="Z34" s="973"/>
      <c r="AA34" s="867"/>
    </row>
    <row r="35" spans="1:27" s="64" customFormat="1" ht="15">
      <c r="A35" s="961" t="s">
        <v>1064</v>
      </c>
      <c r="B35" s="939">
        <f>+FER!B59</f>
        <v>7699.7690000000002</v>
      </c>
      <c r="C35" s="939">
        <f>+FER!C59</f>
        <v>7699.7690000000002</v>
      </c>
      <c r="D35" s="939">
        <f>+FER!D59</f>
        <v>7699.7690000000002</v>
      </c>
      <c r="E35" s="939">
        <f>+FER!E59</f>
        <v>7699.7690000000002</v>
      </c>
      <c r="F35" s="939">
        <f>+FER!F59</f>
        <v>7699.7690000000002</v>
      </c>
      <c r="G35" s="939">
        <f>+FER!G59</f>
        <v>7699.7690000000002</v>
      </c>
      <c r="H35" s="939">
        <f>+FER!H59</f>
        <v>7699.7690000000002</v>
      </c>
      <c r="I35" s="939">
        <f>+FER!I59</f>
        <v>7700</v>
      </c>
      <c r="J35" s="939">
        <f>+FER!J59</f>
        <v>7699.7690000000002</v>
      </c>
      <c r="K35" s="962">
        <f t="shared" ref="K35:K41" si="54">+IF(C35-B35&gt;0,ABS(C35-B35),0)</f>
        <v>0</v>
      </c>
      <c r="L35" s="963">
        <f t="shared" ref="L35:L41" si="55">+IF(C35-B35&lt;0,ABS(C35-B35),0)</f>
        <v>0</v>
      </c>
      <c r="M35" s="962">
        <f t="shared" ref="M35:M41" si="56">+IF(D35-C35&gt;0,ABS(D35-C35),0)</f>
        <v>0</v>
      </c>
      <c r="N35" s="963">
        <f t="shared" ref="N35:N41" si="57">+IF(D35-C35&lt;0,ABS(D35-C35),0)</f>
        <v>0</v>
      </c>
      <c r="O35" s="962">
        <f t="shared" ref="O35:O41" si="58">+IF(E35-D35&gt;0,ABS(E35-D35),0)</f>
        <v>0</v>
      </c>
      <c r="P35" s="963">
        <f t="shared" ref="P35:P41" si="59">+IF(E35-D35&lt;0,ABS(E35-D35),0)</f>
        <v>0</v>
      </c>
      <c r="Q35" s="962">
        <f t="shared" ref="Q35:Q41" si="60">+IF(F35-E35&gt;0,ABS(F35-E35),0)</f>
        <v>0</v>
      </c>
      <c r="R35" s="963">
        <f t="shared" ref="R35:R41" si="61">+IF(F35-E35&lt;0,ABS(F35-E35),0)</f>
        <v>0</v>
      </c>
      <c r="S35" s="962">
        <f t="shared" ref="S35:S41" si="62">+IF(G35-F35&gt;0,ABS(G35-F35),0)</f>
        <v>0</v>
      </c>
      <c r="T35" s="963">
        <f t="shared" ref="T35:T41" si="63">+IF(G35-F35&lt;0,ABS(G35-F35),0)</f>
        <v>0</v>
      </c>
      <c r="U35" s="962">
        <f t="shared" ref="U35:U41" si="64">+IF(H35-G35&gt;0,ABS(H35-G35),0)</f>
        <v>0</v>
      </c>
      <c r="V35" s="963">
        <f t="shared" ref="V35:V41" si="65">+IF(H35-G35&lt;0,ABS(H35-G35),0)</f>
        <v>0</v>
      </c>
      <c r="W35" s="962">
        <f t="shared" ref="W35:W41" si="66">+IF(I35-H35&gt;0,ABS(I35-H35),0)</f>
        <v>0.23099999999976717</v>
      </c>
      <c r="X35" s="963">
        <f t="shared" ref="X35:X41" si="67">+IF(I35-H35&lt;0,ABS(I35-H35),0)</f>
        <v>0</v>
      </c>
      <c r="Y35" s="962">
        <f t="shared" ref="Y35:Y41" si="68">+IF(J35-I35&gt;0,ABS(J35-I35),0)</f>
        <v>0</v>
      </c>
      <c r="Z35" s="963">
        <f t="shared" ref="Z35:Z41" si="69">+IF(J35-I35&lt;0,ABS(J35-I35),0)</f>
        <v>0.23099999999976717</v>
      </c>
      <c r="AA35" s="867"/>
    </row>
    <row r="36" spans="1:27" s="64" customFormat="1" ht="15">
      <c r="A36" s="961" t="s">
        <v>1065</v>
      </c>
      <c r="B36" s="939">
        <f>+FER!B60</f>
        <v>0</v>
      </c>
      <c r="C36" s="939">
        <f>+FER!C60</f>
        <v>0</v>
      </c>
      <c r="D36" s="939">
        <f>+FER!D60</f>
        <v>0</v>
      </c>
      <c r="E36" s="939">
        <f>+FER!E60</f>
        <v>0</v>
      </c>
      <c r="F36" s="939">
        <f>+FER!F60</f>
        <v>0</v>
      </c>
      <c r="G36" s="939">
        <f>+FER!G60</f>
        <v>0</v>
      </c>
      <c r="H36" s="939">
        <f>+FER!H60</f>
        <v>0</v>
      </c>
      <c r="I36" s="939">
        <f>+FER!I60</f>
        <v>0</v>
      </c>
      <c r="J36" s="939">
        <f>+FER!J60</f>
        <v>0</v>
      </c>
      <c r="K36" s="962">
        <f t="shared" si="54"/>
        <v>0</v>
      </c>
      <c r="L36" s="963">
        <f t="shared" si="55"/>
        <v>0</v>
      </c>
      <c r="M36" s="962">
        <f t="shared" si="56"/>
        <v>0</v>
      </c>
      <c r="N36" s="963">
        <f t="shared" si="57"/>
        <v>0</v>
      </c>
      <c r="O36" s="962">
        <f t="shared" si="58"/>
        <v>0</v>
      </c>
      <c r="P36" s="963">
        <f t="shared" si="59"/>
        <v>0</v>
      </c>
      <c r="Q36" s="962">
        <f t="shared" si="60"/>
        <v>0</v>
      </c>
      <c r="R36" s="963">
        <f t="shared" si="61"/>
        <v>0</v>
      </c>
      <c r="S36" s="962">
        <f t="shared" si="62"/>
        <v>0</v>
      </c>
      <c r="T36" s="963">
        <f t="shared" si="63"/>
        <v>0</v>
      </c>
      <c r="U36" s="962">
        <f t="shared" si="64"/>
        <v>0</v>
      </c>
      <c r="V36" s="963">
        <f t="shared" si="65"/>
        <v>0</v>
      </c>
      <c r="W36" s="962">
        <f t="shared" si="66"/>
        <v>0</v>
      </c>
      <c r="X36" s="963">
        <f t="shared" si="67"/>
        <v>0</v>
      </c>
      <c r="Y36" s="962">
        <f t="shared" si="68"/>
        <v>0</v>
      </c>
      <c r="Z36" s="963">
        <f t="shared" si="69"/>
        <v>0</v>
      </c>
      <c r="AA36" s="867"/>
    </row>
    <row r="37" spans="1:27" s="64" customFormat="1" ht="15">
      <c r="A37" s="961" t="s">
        <v>1066</v>
      </c>
      <c r="B37" s="939">
        <f>+FER!B61</f>
        <v>31158.577000000001</v>
      </c>
      <c r="C37" s="939">
        <f>+FER!C61</f>
        <v>26736.687000000002</v>
      </c>
      <c r="D37" s="939">
        <f>+FER!D61</f>
        <v>32040.596000000001</v>
      </c>
      <c r="E37" s="939">
        <f>+FER!E61</f>
        <v>43925.756000000001</v>
      </c>
      <c r="F37" s="939">
        <f>+FER!F61</f>
        <v>29806.920999999998</v>
      </c>
      <c r="G37" s="939">
        <f>+FER!G61</f>
        <v>36100.748</v>
      </c>
      <c r="H37" s="939">
        <f>+FER!H61</f>
        <v>4209.607</v>
      </c>
      <c r="I37" s="939">
        <f>+FER!I61</f>
        <v>4210</v>
      </c>
      <c r="J37" s="939">
        <f>+FER!J61</f>
        <v>4209.607</v>
      </c>
      <c r="K37" s="962">
        <f t="shared" si="54"/>
        <v>0</v>
      </c>
      <c r="L37" s="963">
        <f t="shared" si="55"/>
        <v>4421.8899999999994</v>
      </c>
      <c r="M37" s="962">
        <f t="shared" si="56"/>
        <v>5303.9089999999997</v>
      </c>
      <c r="N37" s="963">
        <f t="shared" si="57"/>
        <v>0</v>
      </c>
      <c r="O37" s="962">
        <f t="shared" si="58"/>
        <v>11885.16</v>
      </c>
      <c r="P37" s="963">
        <f t="shared" si="59"/>
        <v>0</v>
      </c>
      <c r="Q37" s="962">
        <f t="shared" si="60"/>
        <v>0</v>
      </c>
      <c r="R37" s="963">
        <f t="shared" si="61"/>
        <v>14118.835000000003</v>
      </c>
      <c r="S37" s="962">
        <f t="shared" si="62"/>
        <v>6293.8270000000011</v>
      </c>
      <c r="T37" s="963">
        <f t="shared" si="63"/>
        <v>0</v>
      </c>
      <c r="U37" s="962">
        <f t="shared" si="64"/>
        <v>0</v>
      </c>
      <c r="V37" s="963">
        <f t="shared" si="65"/>
        <v>31891.141</v>
      </c>
      <c r="W37" s="962">
        <f t="shared" si="66"/>
        <v>0.3930000000000291</v>
      </c>
      <c r="X37" s="963">
        <f t="shared" si="67"/>
        <v>0</v>
      </c>
      <c r="Y37" s="962">
        <f t="shared" si="68"/>
        <v>0</v>
      </c>
      <c r="Z37" s="963">
        <f t="shared" si="69"/>
        <v>0.3930000000000291</v>
      </c>
      <c r="AA37" s="867"/>
    </row>
    <row r="38" spans="1:27" s="64" customFormat="1" ht="15">
      <c r="A38" s="961" t="s">
        <v>1067</v>
      </c>
      <c r="B38" s="939">
        <f>+FER!B62</f>
        <v>10858.612999999999</v>
      </c>
      <c r="C38" s="939">
        <f>+FER!C62</f>
        <v>10858.612999999999</v>
      </c>
      <c r="D38" s="939">
        <f>+FER!D62</f>
        <v>10858.612999999999</v>
      </c>
      <c r="E38" s="939">
        <f>+FER!E62</f>
        <v>10136.722</v>
      </c>
      <c r="F38" s="939">
        <f>+FER!F62</f>
        <v>9414.8310000000001</v>
      </c>
      <c r="G38" s="939">
        <f>+FER!G62</f>
        <v>8138.259</v>
      </c>
      <c r="H38" s="939">
        <f>+FER!H62</f>
        <v>4308.5420000000004</v>
      </c>
      <c r="I38" s="939">
        <f>+FER!I62</f>
        <v>4309</v>
      </c>
      <c r="J38" s="939">
        <f>+FER!J62</f>
        <v>4308.5420000000004</v>
      </c>
      <c r="K38" s="962">
        <f t="shared" si="54"/>
        <v>0</v>
      </c>
      <c r="L38" s="963">
        <f t="shared" si="55"/>
        <v>0</v>
      </c>
      <c r="M38" s="962">
        <f t="shared" si="56"/>
        <v>0</v>
      </c>
      <c r="N38" s="963">
        <f t="shared" si="57"/>
        <v>0</v>
      </c>
      <c r="O38" s="962">
        <f t="shared" si="58"/>
        <v>0</v>
      </c>
      <c r="P38" s="963">
        <f t="shared" si="59"/>
        <v>721.89099999999962</v>
      </c>
      <c r="Q38" s="962">
        <f t="shared" si="60"/>
        <v>0</v>
      </c>
      <c r="R38" s="963">
        <f t="shared" si="61"/>
        <v>721.89099999999962</v>
      </c>
      <c r="S38" s="962">
        <f t="shared" si="62"/>
        <v>0</v>
      </c>
      <c r="T38" s="963">
        <f t="shared" si="63"/>
        <v>1276.5720000000001</v>
      </c>
      <c r="U38" s="962">
        <f t="shared" si="64"/>
        <v>0</v>
      </c>
      <c r="V38" s="963">
        <f t="shared" si="65"/>
        <v>3829.7169999999996</v>
      </c>
      <c r="W38" s="962">
        <f t="shared" si="66"/>
        <v>0.45799999999962893</v>
      </c>
      <c r="X38" s="963">
        <f t="shared" si="67"/>
        <v>0</v>
      </c>
      <c r="Y38" s="962">
        <f t="shared" si="68"/>
        <v>0</v>
      </c>
      <c r="Z38" s="963">
        <f t="shared" si="69"/>
        <v>0.45799999999962893</v>
      </c>
      <c r="AA38" s="867"/>
    </row>
    <row r="39" spans="1:27" s="64" customFormat="1" ht="15">
      <c r="A39" s="961" t="s">
        <v>1068</v>
      </c>
      <c r="B39" s="939">
        <f>+FER!B63</f>
        <v>9331.1319999999996</v>
      </c>
      <c r="C39" s="939">
        <f>+FER!C63</f>
        <v>12306.288</v>
      </c>
      <c r="D39" s="939">
        <f>+FER!D63</f>
        <v>22940.538</v>
      </c>
      <c r="E39" s="939">
        <f>+FER!E63</f>
        <v>13989.019</v>
      </c>
      <c r="F39" s="939">
        <f>+FER!F63</f>
        <v>18180.749</v>
      </c>
      <c r="G39" s="939">
        <f>+FER!G63</f>
        <v>17945.632000000001</v>
      </c>
      <c r="H39" s="939">
        <f>+FER!H63</f>
        <v>15037.779</v>
      </c>
      <c r="I39" s="939">
        <f>+FER!I63</f>
        <v>13841</v>
      </c>
      <c r="J39" s="939">
        <f>+FER!J63</f>
        <v>15015.334999999999</v>
      </c>
      <c r="K39" s="962">
        <f t="shared" si="54"/>
        <v>2975.1560000000009</v>
      </c>
      <c r="L39" s="963">
        <f t="shared" si="55"/>
        <v>0</v>
      </c>
      <c r="M39" s="962">
        <f t="shared" si="56"/>
        <v>10634.25</v>
      </c>
      <c r="N39" s="963">
        <f t="shared" si="57"/>
        <v>0</v>
      </c>
      <c r="O39" s="962">
        <f t="shared" si="58"/>
        <v>0</v>
      </c>
      <c r="P39" s="963">
        <f t="shared" si="59"/>
        <v>8951.5190000000002</v>
      </c>
      <c r="Q39" s="962">
        <f t="shared" si="60"/>
        <v>4191.7299999999996</v>
      </c>
      <c r="R39" s="963">
        <f t="shared" si="61"/>
        <v>0</v>
      </c>
      <c r="S39" s="962">
        <f t="shared" si="62"/>
        <v>0</v>
      </c>
      <c r="T39" s="963">
        <f t="shared" si="63"/>
        <v>235.11699999999837</v>
      </c>
      <c r="U39" s="962">
        <f t="shared" si="64"/>
        <v>0</v>
      </c>
      <c r="V39" s="963">
        <f t="shared" si="65"/>
        <v>2907.853000000001</v>
      </c>
      <c r="W39" s="962">
        <f t="shared" si="66"/>
        <v>0</v>
      </c>
      <c r="X39" s="963">
        <f t="shared" si="67"/>
        <v>1196.7790000000005</v>
      </c>
      <c r="Y39" s="962">
        <f t="shared" si="68"/>
        <v>1174.3349999999991</v>
      </c>
      <c r="Z39" s="963">
        <f t="shared" si="69"/>
        <v>0</v>
      </c>
      <c r="AA39" s="867"/>
    </row>
    <row r="40" spans="1:27" s="64" customFormat="1" ht="15">
      <c r="A40" s="961" t="s">
        <v>1069</v>
      </c>
      <c r="B40" s="939">
        <f>+FER!B64</f>
        <v>0</v>
      </c>
      <c r="C40" s="939">
        <f>+FER!C64</f>
        <v>0</v>
      </c>
      <c r="D40" s="939">
        <f>+FER!D64</f>
        <v>0</v>
      </c>
      <c r="E40" s="939">
        <f>+FER!E64</f>
        <v>0</v>
      </c>
      <c r="F40" s="939">
        <f>+FER!F64</f>
        <v>0</v>
      </c>
      <c r="G40" s="939">
        <f>+FER!G64</f>
        <v>0</v>
      </c>
      <c r="H40" s="939">
        <f>+FER!H64</f>
        <v>0</v>
      </c>
      <c r="I40" s="939">
        <f>+FER!I64</f>
        <v>0</v>
      </c>
      <c r="J40" s="939">
        <f>+FER!J64</f>
        <v>0</v>
      </c>
      <c r="K40" s="962">
        <f t="shared" si="54"/>
        <v>0</v>
      </c>
      <c r="L40" s="963">
        <f t="shared" si="55"/>
        <v>0</v>
      </c>
      <c r="M40" s="962">
        <f t="shared" si="56"/>
        <v>0</v>
      </c>
      <c r="N40" s="963">
        <f t="shared" si="57"/>
        <v>0</v>
      </c>
      <c r="O40" s="962">
        <f t="shared" si="58"/>
        <v>0</v>
      </c>
      <c r="P40" s="963">
        <f t="shared" si="59"/>
        <v>0</v>
      </c>
      <c r="Q40" s="962">
        <f t="shared" si="60"/>
        <v>0</v>
      </c>
      <c r="R40" s="963">
        <f t="shared" si="61"/>
        <v>0</v>
      </c>
      <c r="S40" s="962">
        <f t="shared" si="62"/>
        <v>0</v>
      </c>
      <c r="T40" s="963">
        <f t="shared" si="63"/>
        <v>0</v>
      </c>
      <c r="U40" s="962">
        <f t="shared" si="64"/>
        <v>0</v>
      </c>
      <c r="V40" s="963">
        <f t="shared" si="65"/>
        <v>0</v>
      </c>
      <c r="W40" s="962">
        <f t="shared" si="66"/>
        <v>0</v>
      </c>
      <c r="X40" s="963">
        <f t="shared" si="67"/>
        <v>0</v>
      </c>
      <c r="Y40" s="962">
        <f t="shared" si="68"/>
        <v>0</v>
      </c>
      <c r="Z40" s="963">
        <f t="shared" si="69"/>
        <v>0</v>
      </c>
      <c r="AA40" s="867"/>
    </row>
    <row r="41" spans="1:27" s="64" customFormat="1" ht="15.75" thickBot="1">
      <c r="A41" s="961" t="s">
        <v>1070</v>
      </c>
      <c r="B41" s="939">
        <f>+FER!B65</f>
        <v>31.98</v>
      </c>
      <c r="C41" s="939">
        <f>+FER!C65</f>
        <v>97.518000000000001</v>
      </c>
      <c r="D41" s="939">
        <f>+FER!D65</f>
        <v>30.131</v>
      </c>
      <c r="E41" s="939">
        <f>+FER!E65</f>
        <v>50.75</v>
      </c>
      <c r="F41" s="939">
        <f>+FER!F65</f>
        <v>0</v>
      </c>
      <c r="G41" s="939">
        <f>+FER!G65</f>
        <v>0</v>
      </c>
      <c r="H41" s="939">
        <f>+FER!H65</f>
        <v>0</v>
      </c>
      <c r="I41" s="939">
        <f>+FER!I65</f>
        <v>0</v>
      </c>
      <c r="J41" s="939">
        <f>+FER!J65</f>
        <v>0</v>
      </c>
      <c r="K41" s="962">
        <f t="shared" si="54"/>
        <v>65.537999999999997</v>
      </c>
      <c r="L41" s="963">
        <f t="shared" si="55"/>
        <v>0</v>
      </c>
      <c r="M41" s="962">
        <f t="shared" si="56"/>
        <v>0</v>
      </c>
      <c r="N41" s="963">
        <f t="shared" si="57"/>
        <v>67.387</v>
      </c>
      <c r="O41" s="962">
        <f t="shared" si="58"/>
        <v>20.619</v>
      </c>
      <c r="P41" s="963">
        <f t="shared" si="59"/>
        <v>0</v>
      </c>
      <c r="Q41" s="962">
        <f t="shared" si="60"/>
        <v>0</v>
      </c>
      <c r="R41" s="963">
        <f t="shared" si="61"/>
        <v>50.75</v>
      </c>
      <c r="S41" s="962">
        <f t="shared" si="62"/>
        <v>0</v>
      </c>
      <c r="T41" s="963">
        <f t="shared" si="63"/>
        <v>0</v>
      </c>
      <c r="U41" s="962">
        <f t="shared" si="64"/>
        <v>0</v>
      </c>
      <c r="V41" s="963">
        <f t="shared" si="65"/>
        <v>0</v>
      </c>
      <c r="W41" s="962">
        <f t="shared" si="66"/>
        <v>0</v>
      </c>
      <c r="X41" s="963">
        <f t="shared" si="67"/>
        <v>0</v>
      </c>
      <c r="Y41" s="962">
        <f t="shared" si="68"/>
        <v>0</v>
      </c>
      <c r="Z41" s="963">
        <f t="shared" si="69"/>
        <v>0</v>
      </c>
      <c r="AA41" s="867"/>
    </row>
    <row r="42" spans="1:27" s="64" customFormat="1" ht="15.75" thickBot="1">
      <c r="A42" s="971" t="s">
        <v>216</v>
      </c>
      <c r="B42" s="949">
        <f>SUM(B35:B41)</f>
        <v>59080.071000000004</v>
      </c>
      <c r="C42" s="949">
        <f t="shared" ref="C42:J42" si="70">SUM(C35:C41)</f>
        <v>57698.875</v>
      </c>
      <c r="D42" s="949">
        <f t="shared" si="70"/>
        <v>73569.646999999997</v>
      </c>
      <c r="E42" s="949">
        <f t="shared" si="70"/>
        <v>75802.016000000003</v>
      </c>
      <c r="F42" s="949">
        <f t="shared" si="70"/>
        <v>65102.270000000004</v>
      </c>
      <c r="G42" s="949">
        <f t="shared" si="70"/>
        <v>69884.407999999996</v>
      </c>
      <c r="H42" s="949">
        <f t="shared" si="70"/>
        <v>31255.697</v>
      </c>
      <c r="I42" s="949">
        <f t="shared" si="70"/>
        <v>30060</v>
      </c>
      <c r="J42" s="949">
        <f t="shared" si="70"/>
        <v>31233.253000000001</v>
      </c>
      <c r="K42" s="969"/>
      <c r="L42" s="970"/>
      <c r="M42" s="970"/>
      <c r="N42" s="970"/>
      <c r="O42" s="970"/>
      <c r="P42" s="970"/>
      <c r="Q42" s="970"/>
      <c r="R42" s="970"/>
      <c r="S42" s="970"/>
      <c r="T42" s="970"/>
      <c r="U42" s="970"/>
      <c r="V42" s="970"/>
      <c r="W42" s="970"/>
      <c r="X42" s="970"/>
      <c r="Y42" s="970"/>
      <c r="Z42" s="970"/>
      <c r="AA42" s="867"/>
    </row>
    <row r="43" spans="1:27" s="64" customFormat="1" ht="15.75" thickBot="1">
      <c r="A43" s="974" t="s">
        <v>217</v>
      </c>
      <c r="B43" s="975">
        <f>+B34+B42</f>
        <v>74004.716</v>
      </c>
      <c r="C43" s="975">
        <f t="shared" ref="C43:J43" si="71">+C34+C42</f>
        <v>75284.536999999997</v>
      </c>
      <c r="D43" s="975">
        <f t="shared" si="71"/>
        <v>95549.676999999996</v>
      </c>
      <c r="E43" s="975">
        <f t="shared" si="71"/>
        <v>97148.837</v>
      </c>
      <c r="F43" s="975">
        <f t="shared" si="71"/>
        <v>101825.611</v>
      </c>
      <c r="G43" s="975">
        <f t="shared" si="71"/>
        <v>106430.655</v>
      </c>
      <c r="H43" s="975">
        <f t="shared" si="71"/>
        <v>56421.718999999997</v>
      </c>
      <c r="I43" s="975">
        <f t="shared" si="71"/>
        <v>74629</v>
      </c>
      <c r="J43" s="975">
        <f t="shared" si="71"/>
        <v>97187.28899999999</v>
      </c>
      <c r="K43" s="976"/>
      <c r="L43" s="977"/>
      <c r="M43" s="977"/>
      <c r="N43" s="977"/>
      <c r="O43" s="977"/>
      <c r="P43" s="977"/>
      <c r="Q43" s="977"/>
      <c r="R43" s="977"/>
      <c r="S43" s="977"/>
      <c r="T43" s="977"/>
      <c r="U43" s="977"/>
      <c r="V43" s="977"/>
      <c r="W43" s="977"/>
      <c r="X43" s="977"/>
      <c r="Y43" s="977"/>
      <c r="Z43" s="977"/>
      <c r="AA43" s="867"/>
    </row>
    <row r="44" spans="1:27" s="64" customFormat="1" ht="16.5" thickBot="1">
      <c r="A44" s="978" t="s">
        <v>1071</v>
      </c>
      <c r="B44" s="979">
        <f>+B17-B43</f>
        <v>0</v>
      </c>
      <c r="C44" s="979">
        <f>+C17-C43</f>
        <v>0</v>
      </c>
      <c r="D44" s="979"/>
      <c r="E44" s="979"/>
      <c r="F44" s="979"/>
      <c r="G44" s="979"/>
      <c r="H44" s="979">
        <f>+H17-H43</f>
        <v>0</v>
      </c>
      <c r="I44" s="980">
        <f>+I17-I43</f>
        <v>0</v>
      </c>
      <c r="J44" s="980">
        <f>+J17-J43</f>
        <v>0</v>
      </c>
      <c r="K44" s="981">
        <f t="shared" ref="K44:Z44" si="72">SUM(K4:K43)</f>
        <v>6918.3300000000008</v>
      </c>
      <c r="L44" s="982">
        <f t="shared" si="72"/>
        <v>6918.3300000000008</v>
      </c>
      <c r="M44" s="982">
        <f t="shared" si="72"/>
        <v>28863.848000000002</v>
      </c>
      <c r="N44" s="982">
        <f t="shared" si="72"/>
        <v>28863.848000000002</v>
      </c>
      <c r="O44" s="982">
        <f t="shared" si="72"/>
        <v>62239.93</v>
      </c>
      <c r="P44" s="982">
        <f t="shared" si="72"/>
        <v>62239.930000000008</v>
      </c>
      <c r="Q44" s="982">
        <f t="shared" si="72"/>
        <v>20962.525000000001</v>
      </c>
      <c r="R44" s="982">
        <f t="shared" si="72"/>
        <v>20962.524999999998</v>
      </c>
      <c r="S44" s="982">
        <f t="shared" si="72"/>
        <v>12152.767</v>
      </c>
      <c r="T44" s="982">
        <f t="shared" si="72"/>
        <v>12152.767000000003</v>
      </c>
      <c r="U44" s="982">
        <f t="shared" si="72"/>
        <v>55858.264999999999</v>
      </c>
      <c r="V44" s="982">
        <f t="shared" si="72"/>
        <v>55858.265000000007</v>
      </c>
      <c r="W44" s="982">
        <f t="shared" si="72"/>
        <v>21259.069</v>
      </c>
      <c r="X44" s="982">
        <f t="shared" si="72"/>
        <v>21259.068999999996</v>
      </c>
      <c r="Y44" s="982">
        <f t="shared" si="72"/>
        <v>31050.762999999999</v>
      </c>
      <c r="Z44" s="982">
        <f t="shared" si="72"/>
        <v>31050.762999999999</v>
      </c>
      <c r="AA44" s="867"/>
    </row>
    <row r="45" spans="1:27" ht="15">
      <c r="L45" s="1040">
        <f>+K44-L44</f>
        <v>0</v>
      </c>
      <c r="N45" s="1040">
        <f>+M44-N44</f>
        <v>0</v>
      </c>
      <c r="P45" s="1040">
        <f>+O44-P44</f>
        <v>0</v>
      </c>
      <c r="R45" s="1040">
        <f>+Q44-R44</f>
        <v>0</v>
      </c>
      <c r="T45" s="1040">
        <f>+S44-T44</f>
        <v>0</v>
      </c>
      <c r="V45" s="1040">
        <f>+U44-V44</f>
        <v>0</v>
      </c>
      <c r="X45" s="1040">
        <f>+W44-X44</f>
        <v>0</v>
      </c>
      <c r="Z45" s="1040">
        <f>+Y44-Z44</f>
        <v>0</v>
      </c>
    </row>
    <row r="46" spans="1:27" ht="15"/>
    <row r="47" spans="1:27" ht="15"/>
  </sheetData>
  <mergeCells count="10">
    <mergeCell ref="A2:A3"/>
    <mergeCell ref="K2:L2"/>
    <mergeCell ref="M2:N2"/>
    <mergeCell ref="O2:P2"/>
    <mergeCell ref="Q2:R2"/>
    <mergeCell ref="S2:T2"/>
    <mergeCell ref="U2:V2"/>
    <mergeCell ref="W2:X2"/>
    <mergeCell ref="Y2:Z2"/>
    <mergeCell ref="K1:N1"/>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38"/>
  <sheetViews>
    <sheetView topLeftCell="A19" workbookViewId="0">
      <selection activeCell="A15" sqref="A15"/>
    </sheetView>
  </sheetViews>
  <sheetFormatPr baseColWidth="10" defaultColWidth="0" defaultRowHeight="0" customHeight="1" zeroHeight="1"/>
  <cols>
    <col min="1" max="1" width="45.7109375" style="983" customWidth="1"/>
    <col min="2" max="4" width="10.85546875" style="1024" bestFit="1" customWidth="1"/>
    <col min="5" max="6" width="10.42578125" style="1024" bestFit="1" customWidth="1"/>
    <col min="7" max="9" width="10.85546875" style="1024" bestFit="1" customWidth="1"/>
    <col min="10" max="10" width="16" style="1024" customWidth="1"/>
    <col min="11" max="12" width="17.28515625" style="1024" hidden="1" customWidth="1"/>
    <col min="13" max="16384" width="12.5703125" style="1024" hidden="1"/>
  </cols>
  <sheetData>
    <row r="1" spans="1:11" s="983" customFormat="1" ht="14.25"/>
    <row r="2" spans="1:11" s="983" customFormat="1" ht="21" thickBot="1">
      <c r="A2" s="1631" t="s">
        <v>1083</v>
      </c>
      <c r="B2" s="1631"/>
      <c r="C2" s="1631"/>
      <c r="D2" s="1631"/>
      <c r="E2" s="1631"/>
      <c r="F2" s="1631"/>
      <c r="G2" s="1631"/>
      <c r="H2" s="1631"/>
      <c r="I2" s="1631"/>
    </row>
    <row r="3" spans="1:11" s="985" customFormat="1" ht="15.75" thickBot="1">
      <c r="A3" s="909" t="s">
        <v>1083</v>
      </c>
      <c r="B3" s="984">
        <v>2007</v>
      </c>
      <c r="C3" s="984">
        <v>2008</v>
      </c>
      <c r="D3" s="984">
        <v>2009</v>
      </c>
      <c r="E3" s="984">
        <v>2010</v>
      </c>
      <c r="F3" s="984">
        <v>2011</v>
      </c>
      <c r="G3" s="984">
        <v>2012</v>
      </c>
      <c r="H3" s="984">
        <v>2013</v>
      </c>
      <c r="I3" s="984">
        <v>2014</v>
      </c>
      <c r="J3" s="983"/>
    </row>
    <row r="4" spans="1:11" s="985" customFormat="1" ht="14.25">
      <c r="A4" s="986" t="s">
        <v>1084</v>
      </c>
      <c r="B4" s="987">
        <f>+FER!C14</f>
        <v>14740.263000000003</v>
      </c>
      <c r="C4" s="987">
        <f>+FER!D14</f>
        <v>20704.757999999998</v>
      </c>
      <c r="D4" s="987">
        <f>+FER!E14</f>
        <v>20265.82499999999</v>
      </c>
      <c r="E4" s="987">
        <f>+FER!F14</f>
        <v>23675.207999999999</v>
      </c>
      <c r="F4" s="987">
        <f>+FER!G14</f>
        <v>19528.06500000001</v>
      </c>
      <c r="G4" s="987">
        <f>+FER!H14</f>
        <v>22089.508999999998</v>
      </c>
      <c r="H4" s="987">
        <f>+FER!I14</f>
        <v>18139.900000000009</v>
      </c>
      <c r="I4" s="987">
        <f>+FER!J14</f>
        <v>12903.96</v>
      </c>
      <c r="J4" s="988"/>
      <c r="K4" s="989"/>
    </row>
    <row r="5" spans="1:11" s="985" customFormat="1" ht="14.25">
      <c r="A5" s="990" t="s">
        <v>1085</v>
      </c>
      <c r="B5" s="987">
        <f>+FER!C19</f>
        <v>7721.2330000000002</v>
      </c>
      <c r="C5" s="987">
        <f>+FER!D19</f>
        <v>11405.083000000001</v>
      </c>
      <c r="D5" s="987">
        <f>+FER!E19</f>
        <v>8982.3680000000004</v>
      </c>
      <c r="E5" s="987">
        <f>+FER!F19</f>
        <v>9483.6110000000008</v>
      </c>
      <c r="F5" s="987">
        <f>+FER!G19</f>
        <v>10511.474</v>
      </c>
      <c r="G5" s="987">
        <f>+FER!H19</f>
        <v>8978.643</v>
      </c>
      <c r="H5" s="987">
        <f>+FER!I19</f>
        <v>9345.31</v>
      </c>
      <c r="I5" s="987">
        <f>+FER!J19</f>
        <v>9339.66</v>
      </c>
      <c r="J5" s="991"/>
      <c r="K5" s="992"/>
    </row>
    <row r="6" spans="1:11" s="985" customFormat="1" ht="14.25">
      <c r="A6" s="990" t="s">
        <v>1086</v>
      </c>
      <c r="B6" s="987">
        <f>+'Anexo 3 - FC'!C5</f>
        <v>427.52499999999998</v>
      </c>
      <c r="C6" s="987">
        <f>+'Anexo 3 - FC'!D5</f>
        <v>456.274</v>
      </c>
      <c r="D6" s="987">
        <f>+'Anexo 3 - FC'!E5</f>
        <v>439.75099999999998</v>
      </c>
      <c r="E6" s="987">
        <f>+'Anexo 3 - FC'!F5</f>
        <v>479.72699999999998</v>
      </c>
      <c r="F6" s="987">
        <f>+'Anexo 3 - FC'!G5</f>
        <v>381.26100000000002</v>
      </c>
      <c r="G6" s="987">
        <f>+'Anexo 3 - FC'!H5</f>
        <v>342</v>
      </c>
      <c r="H6" s="987">
        <f>+'Anexo 3 - FC'!I5</f>
        <v>281</v>
      </c>
      <c r="I6" s="987">
        <f>+'Anexo 3 - FC'!J5</f>
        <v>193.89</v>
      </c>
      <c r="J6" s="983"/>
    </row>
    <row r="7" spans="1:11" s="985" customFormat="1" ht="15" thickBot="1">
      <c r="A7" s="993" t="s">
        <v>1087</v>
      </c>
      <c r="B7" s="987">
        <f>+'Anexo 3 - FC'!C6</f>
        <v>0</v>
      </c>
      <c r="C7" s="987">
        <f>+'Anexo 3 - FC'!D6</f>
        <v>0.221</v>
      </c>
      <c r="D7" s="987">
        <f>+'Anexo 3 - FC'!E6</f>
        <v>0</v>
      </c>
      <c r="E7" s="987">
        <f>+'Anexo 3 - FC'!F6</f>
        <v>0</v>
      </c>
      <c r="F7" s="987">
        <f>+'Anexo 3 - FC'!G6</f>
        <v>0</v>
      </c>
      <c r="G7" s="987">
        <f>+'Anexo 3 - FC'!H6</f>
        <v>21</v>
      </c>
      <c r="H7" s="987">
        <f>+'Anexo 3 - FC'!I6</f>
        <v>37</v>
      </c>
      <c r="I7" s="987">
        <f>+'Anexo 3 - FC'!J6</f>
        <v>114.69</v>
      </c>
      <c r="J7" s="983"/>
    </row>
    <row r="8" spans="1:11" s="985" customFormat="1" ht="15.75" thickBot="1">
      <c r="A8" s="916" t="s">
        <v>1088</v>
      </c>
      <c r="B8" s="994">
        <f>+B4-B5+B6+B7</f>
        <v>7446.5550000000021</v>
      </c>
      <c r="C8" s="994">
        <f t="shared" ref="C8:I8" si="0">+C4-C5+C6+C7</f>
        <v>9756.1699999999964</v>
      </c>
      <c r="D8" s="994">
        <f t="shared" si="0"/>
        <v>11723.20799999999</v>
      </c>
      <c r="E8" s="994">
        <f t="shared" si="0"/>
        <v>14671.323999999999</v>
      </c>
      <c r="F8" s="994">
        <f t="shared" si="0"/>
        <v>9397.8520000000099</v>
      </c>
      <c r="G8" s="994">
        <f t="shared" si="0"/>
        <v>13473.865999999998</v>
      </c>
      <c r="H8" s="994">
        <f t="shared" si="0"/>
        <v>9112.5900000000092</v>
      </c>
      <c r="I8" s="995">
        <f t="shared" si="0"/>
        <v>3872.8799999999992</v>
      </c>
      <c r="J8" s="983"/>
    </row>
    <row r="9" spans="1:11" s="985" customFormat="1" ht="14.25">
      <c r="A9" s="996"/>
      <c r="B9" s="987"/>
      <c r="C9" s="962"/>
      <c r="D9" s="963"/>
      <c r="E9" s="963"/>
      <c r="F9" s="963"/>
      <c r="G9" s="963"/>
      <c r="H9" s="963"/>
      <c r="I9" s="962"/>
      <c r="J9" s="983"/>
    </row>
    <row r="10" spans="1:11" s="985" customFormat="1" ht="14.25">
      <c r="A10" s="997" t="s">
        <v>1089</v>
      </c>
      <c r="B10" s="987">
        <f>+C36</f>
        <v>755.76799999999639</v>
      </c>
      <c r="C10" s="987">
        <f t="shared" ref="C10:I10" si="1">+D36</f>
        <v>-13712.713999999993</v>
      </c>
      <c r="D10" s="987">
        <f t="shared" si="1"/>
        <v>44026.83</v>
      </c>
      <c r="E10" s="987">
        <f t="shared" si="1"/>
        <v>12501.376999999993</v>
      </c>
      <c r="F10" s="987">
        <f t="shared" si="1"/>
        <v>-4139.3759999999966</v>
      </c>
      <c r="G10" s="987">
        <f t="shared" si="1"/>
        <v>-15902.147000000004</v>
      </c>
      <c r="H10" s="987">
        <f t="shared" si="1"/>
        <v>8719.5620000000054</v>
      </c>
      <c r="I10" s="962">
        <f t="shared" si="1"/>
        <v>-6143.6680000000051</v>
      </c>
      <c r="J10" s="983"/>
    </row>
    <row r="11" spans="1:11" s="985" customFormat="1" ht="15" thickBot="1">
      <c r="A11" s="997" t="s">
        <v>1090</v>
      </c>
      <c r="B11" s="987">
        <f>+FER!B35-FER!C35</f>
        <v>-272.99000000000069</v>
      </c>
      <c r="C11" s="987">
        <f>+FER!C35-FER!D35</f>
        <v>1017.1030000000001</v>
      </c>
      <c r="D11" s="987">
        <f>+FER!D35-FER!E35</f>
        <v>133.125</v>
      </c>
      <c r="E11" s="987">
        <f>+FER!E35-FER!F35</f>
        <v>496.15500000000065</v>
      </c>
      <c r="F11" s="987">
        <f>+FER!F35-FER!G35</f>
        <v>504.54599999999982</v>
      </c>
      <c r="G11" s="987">
        <f>+FER!G35-FER!H35</f>
        <v>254.33599999999979</v>
      </c>
      <c r="H11" s="987">
        <f>+FER!H35-FER!I35</f>
        <v>-722.4369999999999</v>
      </c>
      <c r="I11" s="1025">
        <f>+FER!I35-FER!J35</f>
        <v>1061.7080000000001</v>
      </c>
      <c r="J11" s="983"/>
    </row>
    <row r="12" spans="1:11" s="999" customFormat="1" ht="15.75" thickBot="1">
      <c r="A12" s="916" t="s">
        <v>1091</v>
      </c>
      <c r="B12" s="994">
        <f>SUM(B10:B11)</f>
        <v>482.7779999999957</v>
      </c>
      <c r="C12" s="994">
        <f t="shared" ref="C12:I12" si="2">SUM(C10:C11)</f>
        <v>-12695.610999999994</v>
      </c>
      <c r="D12" s="994">
        <f t="shared" si="2"/>
        <v>44159.955000000002</v>
      </c>
      <c r="E12" s="994">
        <f t="shared" si="2"/>
        <v>12997.531999999994</v>
      </c>
      <c r="F12" s="994">
        <f t="shared" si="2"/>
        <v>-3634.8299999999967</v>
      </c>
      <c r="G12" s="994">
        <f t="shared" si="2"/>
        <v>-15647.811000000005</v>
      </c>
      <c r="H12" s="994">
        <f t="shared" si="2"/>
        <v>7997.1250000000055</v>
      </c>
      <c r="I12" s="995">
        <f t="shared" si="2"/>
        <v>-5081.9600000000046</v>
      </c>
      <c r="J12" s="998"/>
    </row>
    <row r="13" spans="1:11" s="985" customFormat="1" ht="15" thickBot="1">
      <c r="A13" s="1000"/>
      <c r="B13" s="1001"/>
      <c r="C13" s="1002"/>
      <c r="D13" s="1003"/>
      <c r="E13" s="1003"/>
      <c r="F13" s="1003"/>
      <c r="G13" s="1003"/>
      <c r="H13" s="1003"/>
      <c r="I13" s="1002"/>
      <c r="J13" s="983"/>
    </row>
    <row r="14" spans="1:11" s="985" customFormat="1" ht="15.75" thickBot="1">
      <c r="A14" s="916" t="s">
        <v>1092</v>
      </c>
      <c r="B14" s="994">
        <f>+B8+B12</f>
        <v>7929.3329999999978</v>
      </c>
      <c r="C14" s="994">
        <f t="shared" ref="C14:I14" si="3">+C8+C12</f>
        <v>-2939.4409999999971</v>
      </c>
      <c r="D14" s="994">
        <f t="shared" si="3"/>
        <v>55883.162999999993</v>
      </c>
      <c r="E14" s="994">
        <f t="shared" si="3"/>
        <v>27668.855999999992</v>
      </c>
      <c r="F14" s="994">
        <f t="shared" si="3"/>
        <v>5763.0220000000136</v>
      </c>
      <c r="G14" s="994">
        <f t="shared" si="3"/>
        <v>-2173.945000000007</v>
      </c>
      <c r="H14" s="994">
        <f t="shared" si="3"/>
        <v>17109.715000000015</v>
      </c>
      <c r="I14" s="995">
        <f t="shared" si="3"/>
        <v>-1209.0800000000054</v>
      </c>
      <c r="J14" s="983"/>
    </row>
    <row r="15" spans="1:11" s="985" customFormat="1" ht="14.25">
      <c r="A15" s="1004" t="s">
        <v>1093</v>
      </c>
      <c r="B15" s="987">
        <f>+(FER!B40-FER!B39-FER!B35)-(FER!C40-FER!C39-FER!C35)</f>
        <v>360.00500000000011</v>
      </c>
      <c r="C15" s="987">
        <f>+(FER!C40-FER!C39-FER!C35)-(FER!D40-FER!D39-FER!D35)</f>
        <v>980.66299999999956</v>
      </c>
      <c r="D15" s="987">
        <f>+(FER!D40-FER!D39-FER!D35)-(FER!E40-FER!E39-FER!E35)</f>
        <v>-47918.563000000002</v>
      </c>
      <c r="E15" s="987">
        <f>+(FER!E40-FER!E39-FER!E35)-(FER!F40-FER!F39-FER!F35)</f>
        <v>45.142000000007101</v>
      </c>
      <c r="F15" s="987">
        <f>+(FER!F40-FER!F39-FER!F35)-(FER!G40-FER!G39-FER!G35)</f>
        <v>-4806.8310000000056</v>
      </c>
      <c r="G15" s="987">
        <f>+(FER!G40-FER!G39-FER!G35)-(FER!H40-FER!H39-FER!H35)</f>
        <v>53123.609000000004</v>
      </c>
      <c r="H15" s="987">
        <f>+(FER!H40-FER!H39-FER!H35)-(FER!I40-FER!I39-FER!I35)</f>
        <v>-1736.7579999999998</v>
      </c>
      <c r="I15" s="962">
        <f>+(FER!I40-FER!I39-FER!I35)-(FER!J40-FER!J39-FER!J35)</f>
        <v>-146.62800000000061</v>
      </c>
      <c r="J15" s="983"/>
    </row>
    <row r="16" spans="1:11" s="985" customFormat="1" ht="14.25">
      <c r="A16" s="997" t="s">
        <v>1094</v>
      </c>
      <c r="B16" s="987">
        <f>+FER!C57-FER!B57</f>
        <v>0</v>
      </c>
      <c r="C16" s="987">
        <f>+FER!D57-FER!C57</f>
        <v>0</v>
      </c>
      <c r="D16" s="987">
        <f>+FER!E57-FER!D57</f>
        <v>0</v>
      </c>
      <c r="E16" s="987">
        <f>+FER!F57-FER!E57</f>
        <v>0</v>
      </c>
      <c r="F16" s="987">
        <f>+FER!G57-FER!F57</f>
        <v>0</v>
      </c>
      <c r="G16" s="987">
        <f>+FER!H57-FER!G57</f>
        <v>1276.5730000000001</v>
      </c>
      <c r="H16" s="987">
        <f>+FER!I57-FER!H57</f>
        <v>-993.57300000000009</v>
      </c>
      <c r="I16" s="962">
        <f>+FER!J57-FER!I57</f>
        <v>-283</v>
      </c>
      <c r="J16" s="983"/>
    </row>
    <row r="17" spans="1:11" s="985" customFormat="1" ht="14.25">
      <c r="A17" s="1000" t="s">
        <v>1095</v>
      </c>
      <c r="B17" s="987">
        <f>+(FER!C60+FER!C62)-(FER!B60+FER!B62)</f>
        <v>0</v>
      </c>
      <c r="C17" s="987">
        <f>+(FER!D60+FER!D62)-(FER!C60+FER!C62)</f>
        <v>0</v>
      </c>
      <c r="D17" s="987">
        <f>+(FER!E60+FER!E62)-(FER!D60+FER!D62)</f>
        <v>-721.89099999999962</v>
      </c>
      <c r="E17" s="987">
        <f>+(FER!F60+FER!F62)-(FER!E60+FER!E62)</f>
        <v>-721.89099999999962</v>
      </c>
      <c r="F17" s="987">
        <f>+(FER!G60+FER!G62)-(FER!F60+FER!F62)</f>
        <v>-1276.5720000000001</v>
      </c>
      <c r="G17" s="987">
        <f>+(FER!H60+FER!H62)-(FER!G60+FER!G62)</f>
        <v>-3829.7169999999996</v>
      </c>
      <c r="H17" s="987">
        <f>+(FER!I60+FER!I62)-(FER!H60+FER!H62)</f>
        <v>0.45799999999962893</v>
      </c>
      <c r="I17" s="962">
        <f>+(FER!J60+FER!J62)-(FER!I60+FER!I62)</f>
        <v>-0.45799999999962893</v>
      </c>
      <c r="J17" s="983"/>
    </row>
    <row r="18" spans="1:11" s="985" customFormat="1" ht="14.25">
      <c r="A18" s="997" t="s">
        <v>1096</v>
      </c>
      <c r="B18" s="987">
        <f>+FER!C59-FER!B59</f>
        <v>0</v>
      </c>
      <c r="C18" s="987">
        <f>+FER!D59-FER!C59</f>
        <v>0</v>
      </c>
      <c r="D18" s="987">
        <f>+FER!E59-FER!D59</f>
        <v>0</v>
      </c>
      <c r="E18" s="987">
        <f>+FER!F59-FER!E59</f>
        <v>0</v>
      </c>
      <c r="F18" s="987">
        <f>+FER!G59-FER!F59</f>
        <v>0</v>
      </c>
      <c r="G18" s="987">
        <f>+FER!H59-FER!G59</f>
        <v>0</v>
      </c>
      <c r="H18" s="987">
        <f>+FER!I59-FER!H59</f>
        <v>0.23099999999976717</v>
      </c>
      <c r="I18" s="962">
        <f>+FER!J59-FER!I59</f>
        <v>-0.23099999999976717</v>
      </c>
      <c r="J18" s="983"/>
    </row>
    <row r="19" spans="1:11" s="985" customFormat="1" ht="14.25">
      <c r="A19" s="997" t="s">
        <v>1097</v>
      </c>
      <c r="B19" s="987">
        <f>+'Distribución DIVD'!C9</f>
        <v>13753.022000000001</v>
      </c>
      <c r="C19" s="987">
        <f>+'Distribución DIVD'!D9</f>
        <v>7002.3790000000045</v>
      </c>
      <c r="D19" s="987">
        <f>+'Distribución DIVD'!E9</f>
        <v>11055.378000000004</v>
      </c>
      <c r="E19" s="987">
        <f>+'Distribución DIVD'!F9</f>
        <v>28107.854000000003</v>
      </c>
      <c r="F19" s="987">
        <f>+'Distribución DIVD'!G9</f>
        <v>11886.921999999999</v>
      </c>
      <c r="G19" s="987">
        <f>+'Distribución DIVD'!H9</f>
        <v>49836.773000000001</v>
      </c>
      <c r="H19" s="987">
        <f>+'Distribución DIVD'!I9</f>
        <v>15037.385999999999</v>
      </c>
      <c r="I19" s="962">
        <f>+'Distribución DIVD'!J9</f>
        <v>13841.393</v>
      </c>
      <c r="J19" s="983"/>
    </row>
    <row r="20" spans="1:11" s="985" customFormat="1" ht="14.25">
      <c r="A20" s="997" t="s">
        <v>1098</v>
      </c>
      <c r="B20" s="987">
        <f>+FER!C15</f>
        <v>15307.147999999999</v>
      </c>
      <c r="C20" s="987">
        <f>+FER!D15</f>
        <v>28760.128000000001</v>
      </c>
      <c r="D20" s="987">
        <f>+FER!E15</f>
        <v>23005.704000000002</v>
      </c>
      <c r="E20" s="987">
        <f>+FER!F15</f>
        <v>12255.781000000001</v>
      </c>
      <c r="F20" s="987">
        <f>+FER!G15</f>
        <v>19736.356</v>
      </c>
      <c r="G20" s="987">
        <f>+FER!H15</f>
        <v>17457.718000000001</v>
      </c>
      <c r="H20" s="987">
        <f>+FER!I15</f>
        <v>11521.62</v>
      </c>
      <c r="I20" s="962">
        <f>+FER!J15</f>
        <v>28394.92</v>
      </c>
      <c r="J20" s="983"/>
    </row>
    <row r="21" spans="1:11" s="985" customFormat="1" ht="14.25">
      <c r="A21" s="997" t="s">
        <v>1099</v>
      </c>
      <c r="B21" s="987">
        <f>+FER!C16</f>
        <v>10019.89</v>
      </c>
      <c r="C21" s="987">
        <f>+FER!D16</f>
        <v>15119.264999999999</v>
      </c>
      <c r="D21" s="987">
        <f>+FER!E16</f>
        <v>20300.142</v>
      </c>
      <c r="E21" s="987">
        <f>+FER!F16</f>
        <v>8266.6290000000008</v>
      </c>
      <c r="F21" s="987">
        <f>+FER!G16</f>
        <v>10807.315000000001</v>
      </c>
      <c r="G21" s="987">
        <f>+FER!H16</f>
        <v>15530.805</v>
      </c>
      <c r="H21" s="987">
        <f>+FER!I16</f>
        <v>6474.93</v>
      </c>
      <c r="I21" s="962">
        <f>+FER!J16</f>
        <v>16943.89</v>
      </c>
      <c r="J21" s="983"/>
    </row>
    <row r="22" spans="1:11" s="985" customFormat="1" ht="15" thickBot="1">
      <c r="A22" s="1005" t="s">
        <v>1100</v>
      </c>
      <c r="B22" s="1006">
        <f>+B6+B7</f>
        <v>427.52499999999998</v>
      </c>
      <c r="C22" s="1007">
        <f>+C6+C7</f>
        <v>456.495</v>
      </c>
      <c r="D22" s="1007">
        <f t="shared" ref="D22:I22" si="4">+D6+D7</f>
        <v>439.75099999999998</v>
      </c>
      <c r="E22" s="1007">
        <f t="shared" si="4"/>
        <v>479.72699999999998</v>
      </c>
      <c r="F22" s="1007">
        <f t="shared" si="4"/>
        <v>381.26100000000002</v>
      </c>
      <c r="G22" s="1007">
        <f t="shared" si="4"/>
        <v>363</v>
      </c>
      <c r="H22" s="1007">
        <f t="shared" si="4"/>
        <v>318</v>
      </c>
      <c r="I22" s="1007">
        <f t="shared" si="4"/>
        <v>308.58</v>
      </c>
      <c r="J22" s="983"/>
    </row>
    <row r="23" spans="1:11" s="985" customFormat="1" ht="15.75" thickBot="1">
      <c r="A23" s="916" t="s">
        <v>1101</v>
      </c>
      <c r="B23" s="994">
        <f>+B15+B16+B17+B18-B19+B20-B21-B22</f>
        <v>-8533.2839999999997</v>
      </c>
      <c r="C23" s="994">
        <f t="shared" ref="C23:I23" si="5">+C15+C16+C17+C18-C19+C20-C21-C22</f>
        <v>7162.6519999999973</v>
      </c>
      <c r="D23" s="994">
        <f t="shared" si="5"/>
        <v>-57430.020999999993</v>
      </c>
      <c r="E23" s="994">
        <f t="shared" si="5"/>
        <v>-25275.177999999993</v>
      </c>
      <c r="F23" s="994">
        <f t="shared" si="5"/>
        <v>-9422.5450000000055</v>
      </c>
      <c r="G23" s="994">
        <f t="shared" si="5"/>
        <v>2297.6050000000032</v>
      </c>
      <c r="H23" s="994">
        <f t="shared" si="5"/>
        <v>-13038.337999999998</v>
      </c>
      <c r="I23" s="995">
        <f t="shared" si="5"/>
        <v>-3129.26</v>
      </c>
      <c r="J23" s="983"/>
    </row>
    <row r="24" spans="1:11" s="985" customFormat="1" ht="14.25">
      <c r="A24" s="997" t="s">
        <v>1102</v>
      </c>
      <c r="B24" s="987">
        <f>+B14+B23</f>
        <v>-603.95100000000184</v>
      </c>
      <c r="C24" s="987">
        <f t="shared" ref="C24:I24" si="6">+C14+C23</f>
        <v>4223.2110000000002</v>
      </c>
      <c r="D24" s="987">
        <f t="shared" si="6"/>
        <v>-1546.8580000000002</v>
      </c>
      <c r="E24" s="987">
        <f t="shared" si="6"/>
        <v>2393.6779999999999</v>
      </c>
      <c r="F24" s="987">
        <f t="shared" si="6"/>
        <v>-3659.522999999992</v>
      </c>
      <c r="G24" s="987">
        <f t="shared" si="6"/>
        <v>123.65999999999622</v>
      </c>
      <c r="H24" s="987">
        <f t="shared" si="6"/>
        <v>4071.3770000000168</v>
      </c>
      <c r="I24" s="962">
        <f t="shared" si="6"/>
        <v>-4338.3400000000056</v>
      </c>
      <c r="J24" s="983"/>
    </row>
    <row r="25" spans="1:11" s="985" customFormat="1" ht="15" thickBot="1">
      <c r="A25" s="997" t="s">
        <v>1103</v>
      </c>
      <c r="B25" s="987">
        <f>+FER!B28</f>
        <v>6830.6859999999997</v>
      </c>
      <c r="C25" s="962">
        <f>+B26</f>
        <v>6226.7349999999979</v>
      </c>
      <c r="D25" s="962">
        <f t="shared" ref="D25:I25" si="7">+C26</f>
        <v>10449.945999999998</v>
      </c>
      <c r="E25" s="962">
        <f t="shared" si="7"/>
        <v>8903.0879999999979</v>
      </c>
      <c r="F25" s="962">
        <f t="shared" si="7"/>
        <v>11296.765999999998</v>
      </c>
      <c r="G25" s="962">
        <f t="shared" si="7"/>
        <v>7637.2430000000058</v>
      </c>
      <c r="H25" s="962">
        <f t="shared" si="7"/>
        <v>7760.9030000000021</v>
      </c>
      <c r="I25" s="962">
        <f t="shared" si="7"/>
        <v>11832.280000000019</v>
      </c>
      <c r="J25" s="983"/>
    </row>
    <row r="26" spans="1:11" s="985" customFormat="1" ht="15.75" thickBot="1">
      <c r="A26" s="916" t="s">
        <v>1104</v>
      </c>
      <c r="B26" s="994">
        <f>+B24+B25</f>
        <v>6226.7349999999979</v>
      </c>
      <c r="C26" s="994">
        <f t="shared" ref="C26:I26" si="8">+C24+C25</f>
        <v>10449.945999999998</v>
      </c>
      <c r="D26" s="994">
        <f t="shared" si="8"/>
        <v>8903.0879999999979</v>
      </c>
      <c r="E26" s="994">
        <f t="shared" si="8"/>
        <v>11296.765999999998</v>
      </c>
      <c r="F26" s="994">
        <f t="shared" si="8"/>
        <v>7637.2430000000058</v>
      </c>
      <c r="G26" s="994">
        <f t="shared" si="8"/>
        <v>7760.9030000000021</v>
      </c>
      <c r="H26" s="994">
        <f t="shared" si="8"/>
        <v>11832.280000000019</v>
      </c>
      <c r="I26" s="995">
        <f t="shared" si="8"/>
        <v>7493.9400000000132</v>
      </c>
      <c r="J26" s="983" t="s">
        <v>710</v>
      </c>
      <c r="K26" s="985" t="s">
        <v>710</v>
      </c>
    </row>
    <row r="27" spans="1:11" s="985" customFormat="1" ht="15" thickBot="1">
      <c r="B27" s="1008"/>
      <c r="C27" s="1009"/>
      <c r="D27" s="1010"/>
      <c r="E27" s="1010"/>
      <c r="F27" s="1010"/>
      <c r="G27" s="1010"/>
      <c r="H27" s="1010"/>
      <c r="I27" s="1009"/>
      <c r="J27" s="983"/>
      <c r="K27" s="985" t="s">
        <v>710</v>
      </c>
    </row>
    <row r="28" spans="1:11" s="985" customFormat="1" ht="15.75" thickBot="1">
      <c r="A28" s="1011" t="s">
        <v>1105</v>
      </c>
      <c r="B28" s="1012">
        <f>+FER!C28</f>
        <v>6226.7349999999997</v>
      </c>
      <c r="C28" s="1012">
        <f>+FER!D28</f>
        <v>10449.946</v>
      </c>
      <c r="D28" s="1012">
        <f>+FER!E28</f>
        <v>8903.0879999999997</v>
      </c>
      <c r="E28" s="1012">
        <f>+FER!F28</f>
        <v>11296.766</v>
      </c>
      <c r="F28" s="1012">
        <f>+FER!G28</f>
        <v>7637.2430000000004</v>
      </c>
      <c r="G28" s="1012">
        <f>+FER!H28</f>
        <v>7760.9030000000002</v>
      </c>
      <c r="H28" s="1012">
        <f>+FER!I28</f>
        <v>11832</v>
      </c>
      <c r="I28" s="1013">
        <f>+FER!J28</f>
        <v>7493.665</v>
      </c>
      <c r="J28" s="983"/>
      <c r="K28" s="985" t="s">
        <v>710</v>
      </c>
    </row>
    <row r="29" spans="1:11" s="985" customFormat="1" ht="15.75" thickBot="1">
      <c r="A29" s="1014" t="s">
        <v>1106</v>
      </c>
      <c r="B29" s="1015">
        <f t="shared" ref="B29:I29" si="9">+B26-B28</f>
        <v>0</v>
      </c>
      <c r="C29" s="1016">
        <f t="shared" si="9"/>
        <v>0</v>
      </c>
      <c r="D29" s="1016">
        <f t="shared" si="9"/>
        <v>0</v>
      </c>
      <c r="E29" s="1016">
        <f t="shared" si="9"/>
        <v>0</v>
      </c>
      <c r="F29" s="1016">
        <f t="shared" si="9"/>
        <v>0</v>
      </c>
      <c r="G29" s="1016">
        <f t="shared" si="9"/>
        <v>0</v>
      </c>
      <c r="H29" s="1016">
        <f t="shared" si="9"/>
        <v>0.28000000001884473</v>
      </c>
      <c r="I29" s="1016">
        <f t="shared" si="9"/>
        <v>0.27500000001327862</v>
      </c>
      <c r="J29" s="983" t="s">
        <v>710</v>
      </c>
    </row>
    <row r="30" spans="1:11" s="985" customFormat="1" ht="14.25">
      <c r="A30" s="983" t="s">
        <v>710</v>
      </c>
      <c r="B30" s="983"/>
      <c r="C30" s="983"/>
      <c r="D30" s="983"/>
      <c r="E30" s="983"/>
      <c r="F30" s="983"/>
      <c r="G30" s="983"/>
      <c r="H30" s="983"/>
      <c r="I30" s="983"/>
      <c r="J30" s="983"/>
    </row>
    <row r="31" spans="1:11" s="985" customFormat="1" ht="14.25">
      <c r="A31" s="983"/>
      <c r="B31" s="1017"/>
      <c r="C31" s="1017"/>
      <c r="D31" s="1017"/>
      <c r="E31" s="1017"/>
      <c r="F31" s="1017"/>
      <c r="G31" s="1017"/>
      <c r="H31" s="1017"/>
      <c r="I31" s="1017"/>
      <c r="J31" s="983"/>
    </row>
    <row r="32" spans="1:11" s="985" customFormat="1" ht="15">
      <c r="A32" s="1018" t="s">
        <v>1107</v>
      </c>
      <c r="B32" s="1018">
        <v>2006</v>
      </c>
      <c r="C32" s="1018">
        <v>2007</v>
      </c>
      <c r="D32" s="1018">
        <v>2008</v>
      </c>
      <c r="E32" s="1018">
        <v>2009</v>
      </c>
      <c r="F32" s="1018">
        <v>2010</v>
      </c>
      <c r="G32" s="1018">
        <v>2011</v>
      </c>
      <c r="H32" s="1018">
        <v>2012</v>
      </c>
      <c r="I32" s="1018">
        <v>2013</v>
      </c>
      <c r="J32" s="1018">
        <v>2014</v>
      </c>
    </row>
    <row r="33" spans="1:10" s="985" customFormat="1" ht="14.25">
      <c r="A33" s="1019" t="s">
        <v>1108</v>
      </c>
      <c r="B33" s="1020">
        <f>+FER!B33-FER!B28</f>
        <v>56750.945</v>
      </c>
      <c r="C33" s="1020">
        <f>+FER!C33-FER!C28</f>
        <v>58656.194000000003</v>
      </c>
      <c r="D33" s="1020">
        <f>+FER!D33-FER!D28</f>
        <v>76763.275999999998</v>
      </c>
      <c r="E33" s="1020">
        <f>+FER!E33-FER!E28</f>
        <v>32103.236999999997</v>
      </c>
      <c r="F33" s="1020">
        <f>+FER!F33-FER!F28</f>
        <v>34978.380000000005</v>
      </c>
      <c r="G33" s="1020">
        <f>+FER!G33-FER!G28</f>
        <v>38940.662000000004</v>
      </c>
      <c r="H33" s="1020">
        <f>+FER!H33-FER!H28</f>
        <v>42186.011000000006</v>
      </c>
      <c r="I33" s="1020">
        <f>+FER!I33-FER!I28</f>
        <v>53863</v>
      </c>
      <c r="J33" s="1020">
        <f>+FER!J33-FER!J28</f>
        <v>81674.703999999998</v>
      </c>
    </row>
    <row r="34" spans="1:10" s="985" customFormat="1" ht="14.25">
      <c r="A34" s="1021" t="s">
        <v>1109</v>
      </c>
      <c r="B34" s="1020">
        <f>+FER!B50</f>
        <v>14924.645</v>
      </c>
      <c r="C34" s="1020">
        <f>+FER!C50</f>
        <v>17585.662</v>
      </c>
      <c r="D34" s="1020">
        <f>+FER!D50</f>
        <v>21980.03</v>
      </c>
      <c r="E34" s="1020">
        <f>+FER!E50</f>
        <v>21346.821</v>
      </c>
      <c r="F34" s="1020">
        <f>+FER!F50</f>
        <v>36723.341</v>
      </c>
      <c r="G34" s="1020">
        <f>+FER!G50</f>
        <v>36546.247000000003</v>
      </c>
      <c r="H34" s="1020">
        <f>+FER!H50</f>
        <v>23889.449000000001</v>
      </c>
      <c r="I34" s="1020">
        <f>+FER!I50</f>
        <v>44286</v>
      </c>
      <c r="J34" s="1020">
        <f>+FER!J50</f>
        <v>65954.035999999993</v>
      </c>
    </row>
    <row r="35" spans="1:10" s="985" customFormat="1" ht="15">
      <c r="A35" s="1021" t="s">
        <v>1110</v>
      </c>
      <c r="B35" s="1022">
        <f>+B33-B34</f>
        <v>41826.300000000003</v>
      </c>
      <c r="C35" s="1022">
        <f t="shared" ref="C35:J35" si="10">+C33-C34</f>
        <v>41070.532000000007</v>
      </c>
      <c r="D35" s="1022">
        <f t="shared" si="10"/>
        <v>54783.245999999999</v>
      </c>
      <c r="E35" s="1022">
        <f t="shared" si="10"/>
        <v>10756.415999999997</v>
      </c>
      <c r="F35" s="1022">
        <f t="shared" si="10"/>
        <v>-1744.9609999999957</v>
      </c>
      <c r="G35" s="1022">
        <f t="shared" si="10"/>
        <v>2394.4150000000009</v>
      </c>
      <c r="H35" s="1022">
        <f t="shared" si="10"/>
        <v>18296.562000000005</v>
      </c>
      <c r="I35" s="1022">
        <f t="shared" si="10"/>
        <v>9577</v>
      </c>
      <c r="J35" s="1022">
        <f t="shared" si="10"/>
        <v>15720.668000000005</v>
      </c>
    </row>
    <row r="36" spans="1:10" s="985" customFormat="1" ht="14.25">
      <c r="A36" s="1023" t="s">
        <v>1111</v>
      </c>
      <c r="B36" s="1020"/>
      <c r="C36" s="1020">
        <f>+B35-C35</f>
        <v>755.76799999999639</v>
      </c>
      <c r="D36" s="1020">
        <f t="shared" ref="D36:J36" si="11">+C35-D35</f>
        <v>-13712.713999999993</v>
      </c>
      <c r="E36" s="1020">
        <f t="shared" si="11"/>
        <v>44026.83</v>
      </c>
      <c r="F36" s="1020">
        <f t="shared" si="11"/>
        <v>12501.376999999993</v>
      </c>
      <c r="G36" s="1020">
        <f t="shared" si="11"/>
        <v>-4139.3759999999966</v>
      </c>
      <c r="H36" s="1020">
        <f t="shared" si="11"/>
        <v>-15902.147000000004</v>
      </c>
      <c r="I36" s="1020">
        <f t="shared" si="11"/>
        <v>8719.5620000000054</v>
      </c>
      <c r="J36" s="1020">
        <f t="shared" si="11"/>
        <v>-6143.6680000000051</v>
      </c>
    </row>
    <row r="37" spans="1:10" ht="134.25" customHeight="1"/>
    <row r="38" spans="1:10" ht="83.25" customHeight="1"/>
  </sheetData>
  <mergeCells count="1">
    <mergeCell ref="A2:I2"/>
  </mergeCells>
  <pageMargins left="0.7" right="0.7" top="0.75" bottom="0.75" header="0.3" footer="0.3"/>
  <pageSetup orientation="portrait" horizontalDpi="1200" verticalDpi="1200" r:id="rId1"/>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workbookViewId="0">
      <selection activeCell="A5" sqref="A5"/>
    </sheetView>
  </sheetViews>
  <sheetFormatPr baseColWidth="10" defaultColWidth="0" defaultRowHeight="15" zeroHeight="1"/>
  <cols>
    <col min="1" max="1" width="25" style="867" customWidth="1"/>
    <col min="2" max="2" width="29.5703125" style="867" customWidth="1"/>
    <col min="3" max="5" width="10.28515625" style="867" bestFit="1" customWidth="1"/>
    <col min="6" max="9" width="9.85546875" style="867" bestFit="1" customWidth="1"/>
    <col min="10" max="11" width="11.42578125" style="867" bestFit="1" customWidth="1"/>
    <col min="12" max="12" width="11.42578125" style="867" customWidth="1"/>
    <col min="13" max="13" width="0" style="867" hidden="1" customWidth="1"/>
    <col min="14" max="16384" width="11.42578125" style="867" hidden="1"/>
  </cols>
  <sheetData>
    <row r="1" spans="1:12"/>
    <row r="2" spans="1:12" ht="23.25">
      <c r="C2" s="1632"/>
      <c r="D2" s="1632"/>
      <c r="E2" s="1632"/>
      <c r="F2" s="1632"/>
      <c r="G2" s="1632"/>
      <c r="H2" s="1632"/>
    </row>
    <row r="3" spans="1:12" s="64" customFormat="1">
      <c r="A3" s="1026"/>
      <c r="B3" s="1027">
        <v>2011</v>
      </c>
      <c r="C3" s="1027">
        <v>2012</v>
      </c>
      <c r="D3" s="1027">
        <v>2013</v>
      </c>
      <c r="E3" s="1027">
        <v>2014</v>
      </c>
      <c r="F3" s="867"/>
      <c r="G3" s="867"/>
      <c r="H3" s="867"/>
      <c r="I3" s="867"/>
      <c r="J3" s="867"/>
      <c r="K3" s="867"/>
      <c r="L3" s="867"/>
    </row>
    <row r="4" spans="1:12" s="64" customFormat="1" hidden="1">
      <c r="B4" s="64">
        <v>2</v>
      </c>
      <c r="C4" s="64">
        <v>2</v>
      </c>
      <c r="D4" s="64">
        <v>3</v>
      </c>
      <c r="E4" s="64">
        <v>4</v>
      </c>
      <c r="F4" s="867"/>
      <c r="G4" s="867"/>
      <c r="H4" s="867"/>
      <c r="I4" s="867"/>
      <c r="J4" s="867"/>
      <c r="K4" s="867"/>
      <c r="L4" s="867"/>
    </row>
    <row r="5" spans="1:12" s="64" customFormat="1">
      <c r="A5" s="1028" t="s">
        <v>1025</v>
      </c>
      <c r="B5" s="1029">
        <f>+FER!G9</f>
        <v>91145.91</v>
      </c>
      <c r="C5" s="1029">
        <f>+FER!H9</f>
        <v>92529.489000000001</v>
      </c>
      <c r="D5" s="1029">
        <f>+FER!I9</f>
        <v>99703.27</v>
      </c>
      <c r="E5" s="1029">
        <f>+FER!J9</f>
        <v>99918.35</v>
      </c>
      <c r="F5" s="867"/>
      <c r="G5" s="867"/>
      <c r="H5" s="867"/>
      <c r="I5" s="867"/>
      <c r="J5" s="867"/>
      <c r="K5" s="867"/>
      <c r="L5" s="867"/>
    </row>
    <row r="6" spans="1:12"/>
    <row r="7" spans="1:12"/>
    <row r="8" spans="1:12"/>
    <row r="9" spans="1:12"/>
    <row r="10" spans="1:12"/>
    <row r="11" spans="1:12"/>
    <row r="12" spans="1:12"/>
    <row r="13" spans="1:12"/>
    <row r="14" spans="1:12"/>
    <row r="15" spans="1:12"/>
    <row r="16" spans="1:12"/>
    <row r="17" spans="1:12"/>
    <row r="18" spans="1:12"/>
    <row r="19" spans="1:12"/>
    <row r="20" spans="1:12">
      <c r="A20" s="867" t="s">
        <v>1112</v>
      </c>
    </row>
    <row r="21" spans="1:12">
      <c r="A21" s="1030" t="s">
        <v>1113</v>
      </c>
      <c r="B21" s="1031"/>
    </row>
    <row r="22" spans="1:12">
      <c r="A22" s="1032" t="s">
        <v>1114</v>
      </c>
      <c r="B22" s="1033">
        <v>6.7699999999999996E-2</v>
      </c>
    </row>
    <row r="23" spans="1:12">
      <c r="A23" s="1032" t="s">
        <v>1115</v>
      </c>
      <c r="B23" s="1034">
        <v>0.08</v>
      </c>
    </row>
    <row r="24" spans="1:12">
      <c r="A24" s="21"/>
      <c r="B24" s="21"/>
    </row>
    <row r="25" spans="1:12" s="64" customFormat="1">
      <c r="A25" s="21"/>
      <c r="B25" s="21"/>
      <c r="C25" s="1035">
        <v>2015</v>
      </c>
      <c r="D25" s="1035">
        <v>2016</v>
      </c>
      <c r="E25" s="1035">
        <v>2017</v>
      </c>
      <c r="F25" s="1035">
        <v>2018</v>
      </c>
      <c r="G25" s="1035">
        <v>2019</v>
      </c>
      <c r="H25" s="1035">
        <v>2020</v>
      </c>
      <c r="I25" s="1035">
        <v>2021</v>
      </c>
      <c r="J25" s="1035">
        <v>2022</v>
      </c>
      <c r="K25" s="1035">
        <v>2023</v>
      </c>
      <c r="L25" s="867"/>
    </row>
    <row r="26" spans="1:12" s="64" customFormat="1">
      <c r="A26" s="21"/>
      <c r="B26" s="21"/>
      <c r="C26" s="1036">
        <v>6</v>
      </c>
      <c r="D26" s="1036">
        <v>7</v>
      </c>
      <c r="E26" s="1036">
        <v>8</v>
      </c>
      <c r="F26" s="1036">
        <v>9</v>
      </c>
      <c r="G26" s="1036">
        <v>10</v>
      </c>
      <c r="H26" s="1036">
        <v>11</v>
      </c>
      <c r="I26" s="1036">
        <v>12</v>
      </c>
      <c r="J26" s="1036">
        <v>13</v>
      </c>
      <c r="K26" s="1036">
        <v>14</v>
      </c>
      <c r="L26" s="867"/>
    </row>
    <row r="27" spans="1:12" s="64" customFormat="1" ht="26.25">
      <c r="A27" s="1037">
        <v>1</v>
      </c>
      <c r="B27" s="1038" t="s">
        <v>1116</v>
      </c>
      <c r="C27" s="1039">
        <f>+FORECAST(C25,FER!$B$9:$J$9,FER!$B$8:$J$8)</f>
        <v>108832.13416666724</v>
      </c>
      <c r="D27" s="1039">
        <f>+FORECAST(D25,FER!$B$9:$J$9,FER!$B$8:$J$8)</f>
        <v>113888.80800000206</v>
      </c>
      <c r="E27" s="1039">
        <f>+FORECAST(E25,FER!$B$9:$J$9,FER!$B$8:$J$8)</f>
        <v>118945.48183333501</v>
      </c>
      <c r="F27" s="1039">
        <f>+FORECAST(F25,FER!$B$9:$J$9,FER!$B$8:$J$8)</f>
        <v>124002.15566666797</v>
      </c>
      <c r="G27" s="1039">
        <f>+FORECAST(G25,FER!$B$9:$J$9,FER!$B$8:$J$8)</f>
        <v>129058.82950000092</v>
      </c>
      <c r="H27" s="1039">
        <f>+FORECAST(H25,FER!$B$9:$J$9,FER!$B$8:$J$8)</f>
        <v>134115.50333333388</v>
      </c>
      <c r="I27" s="1039">
        <f>+FORECAST(I25,FER!$B$9:$J$9,FER!$B$8:$J$8)</f>
        <v>139172.1771666687</v>
      </c>
      <c r="J27" s="1039">
        <f>+FORECAST(J25,FER!$B$9:$J$9,FER!$B$8:$J$8)</f>
        <v>144228.85100000165</v>
      </c>
      <c r="K27" s="1039">
        <f>+FORECAST(K25,FER!$B$9:$J$9,FER!$B$8:$J$8)</f>
        <v>149285.52483333461</v>
      </c>
      <c r="L27" s="867"/>
    </row>
    <row r="28" spans="1:12" s="64" customFormat="1" ht="26.25">
      <c r="A28" s="1037">
        <v>2</v>
      </c>
      <c r="B28" s="1038" t="s">
        <v>1117</v>
      </c>
      <c r="C28" s="1039">
        <f>+E5*(1+$B$22)</f>
        <v>106682.82229500002</v>
      </c>
      <c r="D28" s="1039">
        <f>+C28*(1+$B$22)</f>
        <v>113905.24936437153</v>
      </c>
      <c r="E28" s="1039">
        <f t="shared" ref="E28:K28" si="0">+D28*(1+$B$22)</f>
        <v>121616.63474633949</v>
      </c>
      <c r="F28" s="1039">
        <f t="shared" si="0"/>
        <v>129850.08091866669</v>
      </c>
      <c r="G28" s="1039">
        <f t="shared" si="0"/>
        <v>138640.93139686043</v>
      </c>
      <c r="H28" s="1039">
        <f t="shared" si="0"/>
        <v>148026.92245242788</v>
      </c>
      <c r="I28" s="1039">
        <f t="shared" si="0"/>
        <v>158048.34510245727</v>
      </c>
      <c r="J28" s="1039">
        <f t="shared" si="0"/>
        <v>168748.21806589366</v>
      </c>
      <c r="K28" s="1039">
        <f t="shared" si="0"/>
        <v>180172.47242895467</v>
      </c>
      <c r="L28" s="867"/>
    </row>
    <row r="29" spans="1:12" s="64" customFormat="1" ht="26.25">
      <c r="A29" s="1037">
        <v>3</v>
      </c>
      <c r="B29" s="1038" t="s">
        <v>1118</v>
      </c>
      <c r="C29" s="1039">
        <f>+E5*(1+B23)</f>
        <v>107911.81800000001</v>
      </c>
      <c r="D29" s="1039">
        <f>+C29*(1+$B$23)</f>
        <v>116544.76344000002</v>
      </c>
      <c r="E29" s="1039">
        <f t="shared" ref="E29:K29" si="1">+D29*(1+$B$23)</f>
        <v>125868.34451520003</v>
      </c>
      <c r="F29" s="1039">
        <f t="shared" si="1"/>
        <v>135937.81207641604</v>
      </c>
      <c r="G29" s="1039">
        <f t="shared" si="1"/>
        <v>146812.83704252934</v>
      </c>
      <c r="H29" s="1039">
        <f t="shared" si="1"/>
        <v>158557.86400593171</v>
      </c>
      <c r="I29" s="1039">
        <f t="shared" si="1"/>
        <v>171242.49312640625</v>
      </c>
      <c r="J29" s="1039">
        <f t="shared" si="1"/>
        <v>184941.89257651876</v>
      </c>
      <c r="K29" s="1039">
        <f t="shared" si="1"/>
        <v>199737.24398264027</v>
      </c>
      <c r="L29" s="867"/>
    </row>
    <row r="30" spans="1:12" s="64" customFormat="1" ht="26.25">
      <c r="A30" s="1037">
        <v>4</v>
      </c>
      <c r="B30" s="1038" t="s">
        <v>1119</v>
      </c>
      <c r="C30" s="1039">
        <f>+E5*(1+$B$22)*(1+$B$23)</f>
        <v>115217.44807860003</v>
      </c>
      <c r="D30" s="1039">
        <f>+C30*(1+$B$22)*(1+$B$23)</f>
        <v>132859.08285860298</v>
      </c>
      <c r="E30" s="1039">
        <f t="shared" ref="E30:K30" si="2">+D30*(1+$B$22)*(1+$B$23)</f>
        <v>153201.93418958085</v>
      </c>
      <c r="F30" s="1039">
        <f t="shared" si="2"/>
        <v>176659.60154495272</v>
      </c>
      <c r="G30" s="1039">
        <f t="shared" si="2"/>
        <v>203709.01309510975</v>
      </c>
      <c r="H30" s="1039">
        <f t="shared" si="2"/>
        <v>234900.12234418059</v>
      </c>
      <c r="I30" s="1039">
        <f t="shared" si="2"/>
        <v>270867.08947703219</v>
      </c>
      <c r="J30" s="1039">
        <f t="shared" si="2"/>
        <v>312341.1747493975</v>
      </c>
      <c r="K30" s="1039">
        <f t="shared" si="2"/>
        <v>360165.60606232629</v>
      </c>
      <c r="L30" s="867"/>
    </row>
    <row r="31" spans="1:12"/>
    <row r="32" spans="1:12"/>
    <row r="33"/>
    <row r="34"/>
    <row r="35"/>
    <row r="36"/>
    <row r="37"/>
    <row r="38"/>
    <row r="39"/>
    <row r="40"/>
    <row r="41"/>
    <row r="42"/>
    <row r="43"/>
    <row r="44"/>
    <row r="45"/>
    <row r="46"/>
    <row r="47"/>
    <row r="48"/>
    <row r="49"/>
    <row r="50"/>
    <row r="51"/>
    <row r="52"/>
    <row r="53"/>
  </sheetData>
  <mergeCells count="1">
    <mergeCell ref="C2:H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0:N103"/>
  <sheetViews>
    <sheetView workbookViewId="0">
      <pane ySplit="10" topLeftCell="A11" activePane="bottomLeft" state="frozen"/>
      <selection pane="bottomLeft"/>
    </sheetView>
  </sheetViews>
  <sheetFormatPr baseColWidth="10" defaultColWidth="11.42578125" defaultRowHeight="15"/>
  <cols>
    <col min="1" max="11" width="11.42578125" style="1"/>
    <col min="12" max="12" width="6.5703125" style="1" customWidth="1"/>
    <col min="13" max="13" width="11.42578125" style="1" customWidth="1"/>
    <col min="14" max="16384" width="11.42578125" style="1"/>
  </cols>
  <sheetData>
    <row r="10" spans="1:14" ht="16.5" thickBot="1">
      <c r="A10" s="1524"/>
      <c r="B10" s="1524"/>
      <c r="C10" s="1524"/>
      <c r="D10" s="1524"/>
      <c r="E10" s="1524"/>
      <c r="F10" s="1524"/>
      <c r="G10" s="1524"/>
      <c r="H10" s="1524"/>
      <c r="I10" s="1524"/>
      <c r="J10" s="1524"/>
      <c r="K10" s="1524"/>
      <c r="L10" s="1524"/>
      <c r="M10" s="1524"/>
      <c r="N10" s="1524"/>
    </row>
    <row r="11" spans="1:14" ht="15" customHeight="1" thickTop="1">
      <c r="A11" s="6"/>
      <c r="B11" s="1515"/>
      <c r="C11" s="1516"/>
      <c r="D11" s="1516"/>
      <c r="E11" s="1516"/>
      <c r="F11" s="1516"/>
      <c r="G11" s="1516"/>
      <c r="H11" s="1516"/>
      <c r="I11" s="1516"/>
      <c r="J11" s="1516"/>
      <c r="K11" s="1516"/>
      <c r="L11" s="1516"/>
      <c r="M11" s="1517"/>
    </row>
    <row r="12" spans="1:14">
      <c r="A12" s="6"/>
      <c r="B12" s="1518"/>
      <c r="C12" s="1519"/>
      <c r="D12" s="1519"/>
      <c r="E12" s="1519"/>
      <c r="F12" s="1519"/>
      <c r="G12" s="1519"/>
      <c r="H12" s="1519"/>
      <c r="I12" s="1519"/>
      <c r="J12" s="1519"/>
      <c r="K12" s="1519"/>
      <c r="L12" s="1519"/>
      <c r="M12" s="1520"/>
    </row>
    <row r="13" spans="1:14">
      <c r="A13" s="6"/>
      <c r="B13" s="1518"/>
      <c r="C13" s="1519"/>
      <c r="D13" s="1519"/>
      <c r="E13" s="1519"/>
      <c r="F13" s="1519"/>
      <c r="G13" s="1519"/>
      <c r="H13" s="1519"/>
      <c r="I13" s="1519"/>
      <c r="J13" s="1519"/>
      <c r="K13" s="1519"/>
      <c r="L13" s="1519"/>
      <c r="M13" s="1520"/>
    </row>
    <row r="14" spans="1:14" s="6" customFormat="1">
      <c r="B14" s="1518"/>
      <c r="C14" s="1519"/>
      <c r="D14" s="1519"/>
      <c r="E14" s="1519"/>
      <c r="F14" s="1519"/>
      <c r="G14" s="1519"/>
      <c r="H14" s="1519"/>
      <c r="I14" s="1519"/>
      <c r="J14" s="1519"/>
      <c r="K14" s="1519"/>
      <c r="L14" s="1519"/>
      <c r="M14" s="1520"/>
    </row>
    <row r="15" spans="1:14" s="6" customFormat="1">
      <c r="B15" s="1518"/>
      <c r="C15" s="1519"/>
      <c r="D15" s="1519"/>
      <c r="E15" s="1519"/>
      <c r="F15" s="1519"/>
      <c r="G15" s="1519"/>
      <c r="H15" s="1519"/>
      <c r="I15" s="1519"/>
      <c r="J15" s="1519"/>
      <c r="K15" s="1519"/>
      <c r="L15" s="1519"/>
      <c r="M15" s="1520"/>
    </row>
    <row r="16" spans="1:14" s="6" customFormat="1">
      <c r="B16" s="1518"/>
      <c r="C16" s="1519"/>
      <c r="D16" s="1519"/>
      <c r="E16" s="1519"/>
      <c r="F16" s="1519"/>
      <c r="G16" s="1519"/>
      <c r="H16" s="1519"/>
      <c r="I16" s="1519"/>
      <c r="J16" s="1519"/>
      <c r="K16" s="1519"/>
      <c r="L16" s="1519"/>
      <c r="M16" s="1520"/>
    </row>
    <row r="17" spans="2:13" s="6" customFormat="1">
      <c r="B17" s="1518"/>
      <c r="C17" s="1519"/>
      <c r="D17" s="1519"/>
      <c r="E17" s="1519"/>
      <c r="F17" s="1519"/>
      <c r="G17" s="1519"/>
      <c r="H17" s="1519"/>
      <c r="I17" s="1519"/>
      <c r="J17" s="1519"/>
      <c r="K17" s="1519"/>
      <c r="L17" s="1519"/>
      <c r="M17" s="1520"/>
    </row>
    <row r="18" spans="2:13" s="6" customFormat="1">
      <c r="B18" s="1518"/>
      <c r="C18" s="1519"/>
      <c r="D18" s="1519"/>
      <c r="E18" s="1519"/>
      <c r="F18" s="1519"/>
      <c r="G18" s="1519"/>
      <c r="H18" s="1519"/>
      <c r="I18" s="1519"/>
      <c r="J18" s="1519"/>
      <c r="K18" s="1519"/>
      <c r="L18" s="1519"/>
      <c r="M18" s="1520"/>
    </row>
    <row r="19" spans="2:13" s="6" customFormat="1">
      <c r="B19" s="1518"/>
      <c r="C19" s="1519"/>
      <c r="D19" s="1519"/>
      <c r="E19" s="1519"/>
      <c r="F19" s="1519"/>
      <c r="G19" s="1519"/>
      <c r="H19" s="1519"/>
      <c r="I19" s="1519"/>
      <c r="J19" s="1519"/>
      <c r="K19" s="1519"/>
      <c r="L19" s="1519"/>
      <c r="M19" s="1520"/>
    </row>
    <row r="20" spans="2:13" s="6" customFormat="1">
      <c r="B20" s="1518"/>
      <c r="C20" s="1519"/>
      <c r="D20" s="1519"/>
      <c r="E20" s="1519"/>
      <c r="F20" s="1519"/>
      <c r="G20" s="1519"/>
      <c r="H20" s="1519"/>
      <c r="I20" s="1519"/>
      <c r="J20" s="1519"/>
      <c r="K20" s="1519"/>
      <c r="L20" s="1519"/>
      <c r="M20" s="1520"/>
    </row>
    <row r="21" spans="2:13" s="6" customFormat="1">
      <c r="B21" s="1518"/>
      <c r="C21" s="1519"/>
      <c r="D21" s="1519"/>
      <c r="E21" s="1519"/>
      <c r="F21" s="1519"/>
      <c r="G21" s="1519"/>
      <c r="H21" s="1519"/>
      <c r="I21" s="1519"/>
      <c r="J21" s="1519"/>
      <c r="K21" s="1519"/>
      <c r="L21" s="1519"/>
      <c r="M21" s="1520"/>
    </row>
    <row r="22" spans="2:13" s="6" customFormat="1">
      <c r="B22" s="1518"/>
      <c r="C22" s="1519"/>
      <c r="D22" s="1519"/>
      <c r="E22" s="1519"/>
      <c r="F22" s="1519"/>
      <c r="G22" s="1519"/>
      <c r="H22" s="1519"/>
      <c r="I22" s="1519"/>
      <c r="J22" s="1519"/>
      <c r="K22" s="1519"/>
      <c r="L22" s="1519"/>
      <c r="M22" s="1520"/>
    </row>
    <row r="23" spans="2:13" s="6" customFormat="1">
      <c r="B23" s="1518"/>
      <c r="C23" s="1519"/>
      <c r="D23" s="1519"/>
      <c r="E23" s="1519"/>
      <c r="F23" s="1519"/>
      <c r="G23" s="1519"/>
      <c r="H23" s="1519"/>
      <c r="I23" s="1519"/>
      <c r="J23" s="1519"/>
      <c r="K23" s="1519"/>
      <c r="L23" s="1519"/>
      <c r="M23" s="1520"/>
    </row>
    <row r="24" spans="2:13" s="6" customFormat="1">
      <c r="B24" s="1518"/>
      <c r="C24" s="1519"/>
      <c r="D24" s="1519"/>
      <c r="E24" s="1519"/>
      <c r="F24" s="1519"/>
      <c r="G24" s="1519"/>
      <c r="H24" s="1519"/>
      <c r="I24" s="1519"/>
      <c r="J24" s="1519"/>
      <c r="K24" s="1519"/>
      <c r="L24" s="1519"/>
      <c r="M24" s="1520"/>
    </row>
    <row r="25" spans="2:13" s="6" customFormat="1">
      <c r="B25" s="1518"/>
      <c r="C25" s="1519"/>
      <c r="D25" s="1519"/>
      <c r="E25" s="1519"/>
      <c r="F25" s="1519"/>
      <c r="G25" s="1519"/>
      <c r="H25" s="1519"/>
      <c r="I25" s="1519"/>
      <c r="J25" s="1519"/>
      <c r="K25" s="1519"/>
      <c r="L25" s="1519"/>
      <c r="M25" s="1520"/>
    </row>
    <row r="26" spans="2:13" s="6" customFormat="1">
      <c r="B26" s="1518"/>
      <c r="C26" s="1519"/>
      <c r="D26" s="1519"/>
      <c r="E26" s="1519"/>
      <c r="F26" s="1519"/>
      <c r="G26" s="1519"/>
      <c r="H26" s="1519"/>
      <c r="I26" s="1519"/>
      <c r="J26" s="1519"/>
      <c r="K26" s="1519"/>
      <c r="L26" s="1519"/>
      <c r="M26" s="1520"/>
    </row>
    <row r="27" spans="2:13" s="6" customFormat="1">
      <c r="B27" s="1518"/>
      <c r="C27" s="1519"/>
      <c r="D27" s="1519"/>
      <c r="E27" s="1519"/>
      <c r="F27" s="1519"/>
      <c r="G27" s="1519"/>
      <c r="H27" s="1519"/>
      <c r="I27" s="1519"/>
      <c r="J27" s="1519"/>
      <c r="K27" s="1519"/>
      <c r="L27" s="1519"/>
      <c r="M27" s="1520"/>
    </row>
    <row r="28" spans="2:13" s="6" customFormat="1">
      <c r="B28" s="1518"/>
      <c r="C28" s="1519"/>
      <c r="D28" s="1519"/>
      <c r="E28" s="1519"/>
      <c r="F28" s="1519"/>
      <c r="G28" s="1519"/>
      <c r="H28" s="1519"/>
      <c r="I28" s="1519"/>
      <c r="J28" s="1519"/>
      <c r="K28" s="1519"/>
      <c r="L28" s="1519"/>
      <c r="M28" s="1520"/>
    </row>
    <row r="29" spans="2:13" s="6" customFormat="1">
      <c r="B29" s="1518"/>
      <c r="C29" s="1519"/>
      <c r="D29" s="1519"/>
      <c r="E29" s="1519"/>
      <c r="F29" s="1519"/>
      <c r="G29" s="1519"/>
      <c r="H29" s="1519"/>
      <c r="I29" s="1519"/>
      <c r="J29" s="1519"/>
      <c r="K29" s="1519"/>
      <c r="L29" s="1519"/>
      <c r="M29" s="1520"/>
    </row>
    <row r="30" spans="2:13" s="6" customFormat="1">
      <c r="B30" s="1518"/>
      <c r="C30" s="1519"/>
      <c r="D30" s="1519"/>
      <c r="E30" s="1519"/>
      <c r="F30" s="1519"/>
      <c r="G30" s="1519"/>
      <c r="H30" s="1519"/>
      <c r="I30" s="1519"/>
      <c r="J30" s="1519"/>
      <c r="K30" s="1519"/>
      <c r="L30" s="1519"/>
      <c r="M30" s="1520"/>
    </row>
    <row r="31" spans="2:13" s="6" customFormat="1">
      <c r="B31" s="1518"/>
      <c r="C31" s="1519"/>
      <c r="D31" s="1519"/>
      <c r="E31" s="1519"/>
      <c r="F31" s="1519"/>
      <c r="G31" s="1519"/>
      <c r="H31" s="1519"/>
      <c r="I31" s="1519"/>
      <c r="J31" s="1519"/>
      <c r="K31" s="1519"/>
      <c r="L31" s="1519"/>
      <c r="M31" s="1520"/>
    </row>
    <row r="32" spans="2:13" s="6" customFormat="1">
      <c r="B32" s="1518"/>
      <c r="C32" s="1519"/>
      <c r="D32" s="1519"/>
      <c r="E32" s="1519"/>
      <c r="F32" s="1519"/>
      <c r="G32" s="1519"/>
      <c r="H32" s="1519"/>
      <c r="I32" s="1519"/>
      <c r="J32" s="1519"/>
      <c r="K32" s="1519"/>
      <c r="L32" s="1519"/>
      <c r="M32" s="1520"/>
    </row>
    <row r="33" spans="2:13" s="6" customFormat="1">
      <c r="B33" s="1518"/>
      <c r="C33" s="1519"/>
      <c r="D33" s="1519"/>
      <c r="E33" s="1519"/>
      <c r="F33" s="1519"/>
      <c r="G33" s="1519"/>
      <c r="H33" s="1519"/>
      <c r="I33" s="1519"/>
      <c r="J33" s="1519"/>
      <c r="K33" s="1519"/>
      <c r="L33" s="1519"/>
      <c r="M33" s="1520"/>
    </row>
    <row r="34" spans="2:13" s="6" customFormat="1">
      <c r="B34" s="1518"/>
      <c r="C34" s="1519"/>
      <c r="D34" s="1519"/>
      <c r="E34" s="1519"/>
      <c r="F34" s="1519"/>
      <c r="G34" s="1519"/>
      <c r="H34" s="1519"/>
      <c r="I34" s="1519"/>
      <c r="J34" s="1519"/>
      <c r="K34" s="1519"/>
      <c r="L34" s="1519"/>
      <c r="M34" s="1520"/>
    </row>
    <row r="35" spans="2:13" s="6" customFormat="1">
      <c r="B35" s="1518"/>
      <c r="C35" s="1519"/>
      <c r="D35" s="1519"/>
      <c r="E35" s="1519"/>
      <c r="F35" s="1519"/>
      <c r="G35" s="1519"/>
      <c r="H35" s="1519"/>
      <c r="I35" s="1519"/>
      <c r="J35" s="1519"/>
      <c r="K35" s="1519"/>
      <c r="L35" s="1519"/>
      <c r="M35" s="1520"/>
    </row>
    <row r="36" spans="2:13" s="6" customFormat="1">
      <c r="B36" s="1518"/>
      <c r="C36" s="1519"/>
      <c r="D36" s="1519"/>
      <c r="E36" s="1519"/>
      <c r="F36" s="1519"/>
      <c r="G36" s="1519"/>
      <c r="H36" s="1519"/>
      <c r="I36" s="1519"/>
      <c r="J36" s="1519"/>
      <c r="K36" s="1519"/>
      <c r="L36" s="1519"/>
      <c r="M36" s="1520"/>
    </row>
    <row r="37" spans="2:13" s="6" customFormat="1">
      <c r="B37" s="1518"/>
      <c r="C37" s="1519"/>
      <c r="D37" s="1519"/>
      <c r="E37" s="1519"/>
      <c r="F37" s="1519"/>
      <c r="G37" s="1519"/>
      <c r="H37" s="1519"/>
      <c r="I37" s="1519"/>
      <c r="J37" s="1519"/>
      <c r="K37" s="1519"/>
      <c r="L37" s="1519"/>
      <c r="M37" s="1520"/>
    </row>
    <row r="38" spans="2:13" s="6" customFormat="1">
      <c r="B38" s="1518"/>
      <c r="C38" s="1519"/>
      <c r="D38" s="1519"/>
      <c r="E38" s="1519"/>
      <c r="F38" s="1519"/>
      <c r="G38" s="1519"/>
      <c r="H38" s="1519"/>
      <c r="I38" s="1519"/>
      <c r="J38" s="1519"/>
      <c r="K38" s="1519"/>
      <c r="L38" s="1519"/>
      <c r="M38" s="1520"/>
    </row>
    <row r="39" spans="2:13" s="6" customFormat="1">
      <c r="B39" s="1518"/>
      <c r="C39" s="1519"/>
      <c r="D39" s="1519"/>
      <c r="E39" s="1519"/>
      <c r="F39" s="1519"/>
      <c r="G39" s="1519"/>
      <c r="H39" s="1519"/>
      <c r="I39" s="1519"/>
      <c r="J39" s="1519"/>
      <c r="K39" s="1519"/>
      <c r="L39" s="1519"/>
      <c r="M39" s="1520"/>
    </row>
    <row r="40" spans="2:13" s="6" customFormat="1">
      <c r="B40" s="1518"/>
      <c r="C40" s="1519"/>
      <c r="D40" s="1519"/>
      <c r="E40" s="1519"/>
      <c r="F40" s="1519"/>
      <c r="G40" s="1519"/>
      <c r="H40" s="1519"/>
      <c r="I40" s="1519"/>
      <c r="J40" s="1519"/>
      <c r="K40" s="1519"/>
      <c r="L40" s="1519"/>
      <c r="M40" s="1520"/>
    </row>
    <row r="41" spans="2:13" s="6" customFormat="1">
      <c r="B41" s="1518"/>
      <c r="C41" s="1519"/>
      <c r="D41" s="1519"/>
      <c r="E41" s="1519"/>
      <c r="F41" s="1519"/>
      <c r="G41" s="1519"/>
      <c r="H41" s="1519"/>
      <c r="I41" s="1519"/>
      <c r="J41" s="1519"/>
      <c r="K41" s="1519"/>
      <c r="L41" s="1519"/>
      <c r="M41" s="1520"/>
    </row>
    <row r="42" spans="2:13" s="6" customFormat="1">
      <c r="B42" s="1518"/>
      <c r="C42" s="1519"/>
      <c r="D42" s="1519"/>
      <c r="E42" s="1519"/>
      <c r="F42" s="1519"/>
      <c r="G42" s="1519"/>
      <c r="H42" s="1519"/>
      <c r="I42" s="1519"/>
      <c r="J42" s="1519"/>
      <c r="K42" s="1519"/>
      <c r="L42" s="1519"/>
      <c r="M42" s="1520"/>
    </row>
    <row r="43" spans="2:13" s="6" customFormat="1">
      <c r="B43" s="1518"/>
      <c r="C43" s="1519"/>
      <c r="D43" s="1519"/>
      <c r="E43" s="1519"/>
      <c r="F43" s="1519"/>
      <c r="G43" s="1519"/>
      <c r="H43" s="1519"/>
      <c r="I43" s="1519"/>
      <c r="J43" s="1519"/>
      <c r="K43" s="1519"/>
      <c r="L43" s="1519"/>
      <c r="M43" s="1520"/>
    </row>
    <row r="44" spans="2:13" s="6" customFormat="1">
      <c r="B44" s="1518"/>
      <c r="C44" s="1519"/>
      <c r="D44" s="1519"/>
      <c r="E44" s="1519"/>
      <c r="F44" s="1519"/>
      <c r="G44" s="1519"/>
      <c r="H44" s="1519"/>
      <c r="I44" s="1519"/>
      <c r="J44" s="1519"/>
      <c r="K44" s="1519"/>
      <c r="L44" s="1519"/>
      <c r="M44" s="1520"/>
    </row>
    <row r="45" spans="2:13" s="6" customFormat="1">
      <c r="B45" s="1518"/>
      <c r="C45" s="1519"/>
      <c r="D45" s="1519"/>
      <c r="E45" s="1519"/>
      <c r="F45" s="1519"/>
      <c r="G45" s="1519"/>
      <c r="H45" s="1519"/>
      <c r="I45" s="1519"/>
      <c r="J45" s="1519"/>
      <c r="K45" s="1519"/>
      <c r="L45" s="1519"/>
      <c r="M45" s="1520"/>
    </row>
    <row r="46" spans="2:13" s="6" customFormat="1">
      <c r="B46" s="1518"/>
      <c r="C46" s="1519"/>
      <c r="D46" s="1519"/>
      <c r="E46" s="1519"/>
      <c r="F46" s="1519"/>
      <c r="G46" s="1519"/>
      <c r="H46" s="1519"/>
      <c r="I46" s="1519"/>
      <c r="J46" s="1519"/>
      <c r="K46" s="1519"/>
      <c r="L46" s="1519"/>
      <c r="M46" s="1520"/>
    </row>
    <row r="47" spans="2:13" s="6" customFormat="1">
      <c r="B47" s="1518"/>
      <c r="C47" s="1519"/>
      <c r="D47" s="1519"/>
      <c r="E47" s="1519"/>
      <c r="F47" s="1519"/>
      <c r="G47" s="1519"/>
      <c r="H47" s="1519"/>
      <c r="I47" s="1519"/>
      <c r="J47" s="1519"/>
      <c r="K47" s="1519"/>
      <c r="L47" s="1519"/>
      <c r="M47" s="1520"/>
    </row>
    <row r="48" spans="2:13" s="6" customFormat="1">
      <c r="B48" s="1518"/>
      <c r="C48" s="1519"/>
      <c r="D48" s="1519"/>
      <c r="E48" s="1519"/>
      <c r="F48" s="1519"/>
      <c r="G48" s="1519"/>
      <c r="H48" s="1519"/>
      <c r="I48" s="1519"/>
      <c r="J48" s="1519"/>
      <c r="K48" s="1519"/>
      <c r="L48" s="1519"/>
      <c r="M48" s="1520"/>
    </row>
    <row r="49" spans="1:13" s="6" customFormat="1">
      <c r="B49" s="1518"/>
      <c r="C49" s="1519"/>
      <c r="D49" s="1519"/>
      <c r="E49" s="1519"/>
      <c r="F49" s="1519"/>
      <c r="G49" s="1519"/>
      <c r="H49" s="1519"/>
      <c r="I49" s="1519"/>
      <c r="J49" s="1519"/>
      <c r="K49" s="1519"/>
      <c r="L49" s="1519"/>
      <c r="M49" s="1520"/>
    </row>
    <row r="50" spans="1:13" s="6" customFormat="1">
      <c r="B50" s="1518"/>
      <c r="C50" s="1519"/>
      <c r="D50" s="1519"/>
      <c r="E50" s="1519"/>
      <c r="F50" s="1519"/>
      <c r="G50" s="1519"/>
      <c r="H50" s="1519"/>
      <c r="I50" s="1519"/>
      <c r="J50" s="1519"/>
      <c r="K50" s="1519"/>
      <c r="L50" s="1519"/>
      <c r="M50" s="1520"/>
    </row>
    <row r="51" spans="1:13" s="6" customFormat="1">
      <c r="B51" s="1518"/>
      <c r="C51" s="1519"/>
      <c r="D51" s="1519"/>
      <c r="E51" s="1519"/>
      <c r="F51" s="1519"/>
      <c r="G51" s="1519"/>
      <c r="H51" s="1519"/>
      <c r="I51" s="1519"/>
      <c r="J51" s="1519"/>
      <c r="K51" s="1519"/>
      <c r="L51" s="1519"/>
      <c r="M51" s="1520"/>
    </row>
    <row r="52" spans="1:13" s="6" customFormat="1">
      <c r="B52" s="1518"/>
      <c r="C52" s="1519"/>
      <c r="D52" s="1519"/>
      <c r="E52" s="1519"/>
      <c r="F52" s="1519"/>
      <c r="G52" s="1519"/>
      <c r="H52" s="1519"/>
      <c r="I52" s="1519"/>
      <c r="J52" s="1519"/>
      <c r="K52" s="1519"/>
      <c r="L52" s="1519"/>
      <c r="M52" s="1520"/>
    </row>
    <row r="53" spans="1:13" s="6" customFormat="1">
      <c r="B53" s="1518"/>
      <c r="C53" s="1519"/>
      <c r="D53" s="1519"/>
      <c r="E53" s="1519"/>
      <c r="F53" s="1519"/>
      <c r="G53" s="1519"/>
      <c r="H53" s="1519"/>
      <c r="I53" s="1519"/>
      <c r="J53" s="1519"/>
      <c r="K53" s="1519"/>
      <c r="L53" s="1519"/>
      <c r="M53" s="1520"/>
    </row>
    <row r="54" spans="1:13" s="6" customFormat="1">
      <c r="B54" s="1518"/>
      <c r="C54" s="1519"/>
      <c r="D54" s="1519"/>
      <c r="E54" s="1519"/>
      <c r="F54" s="1519"/>
      <c r="G54" s="1519"/>
      <c r="H54" s="1519"/>
      <c r="I54" s="1519"/>
      <c r="J54" s="1519"/>
      <c r="K54" s="1519"/>
      <c r="L54" s="1519"/>
      <c r="M54" s="1520"/>
    </row>
    <row r="55" spans="1:13" s="6" customFormat="1">
      <c r="B55" s="1518"/>
      <c r="C55" s="1519"/>
      <c r="D55" s="1519"/>
      <c r="E55" s="1519"/>
      <c r="F55" s="1519"/>
      <c r="G55" s="1519"/>
      <c r="H55" s="1519"/>
      <c r="I55" s="1519"/>
      <c r="J55" s="1519"/>
      <c r="K55" s="1519"/>
      <c r="L55" s="1519"/>
      <c r="M55" s="1520"/>
    </row>
    <row r="56" spans="1:13" s="6" customFormat="1">
      <c r="B56" s="1518"/>
      <c r="C56" s="1519"/>
      <c r="D56" s="1519"/>
      <c r="E56" s="1519"/>
      <c r="F56" s="1519"/>
      <c r="G56" s="1519"/>
      <c r="H56" s="1519"/>
      <c r="I56" s="1519"/>
      <c r="J56" s="1519"/>
      <c r="K56" s="1519"/>
      <c r="L56" s="1519"/>
      <c r="M56" s="1520"/>
    </row>
    <row r="57" spans="1:13" s="6" customFormat="1">
      <c r="B57" s="1518"/>
      <c r="C57" s="1519"/>
      <c r="D57" s="1519"/>
      <c r="E57" s="1519"/>
      <c r="F57" s="1519"/>
      <c r="G57" s="1519"/>
      <c r="H57" s="1519"/>
      <c r="I57" s="1519"/>
      <c r="J57" s="1519"/>
      <c r="K57" s="1519"/>
      <c r="L57" s="1519"/>
      <c r="M57" s="1520"/>
    </row>
    <row r="58" spans="1:13" s="6" customFormat="1">
      <c r="B58" s="1518"/>
      <c r="C58" s="1519"/>
      <c r="D58" s="1519"/>
      <c r="E58" s="1519"/>
      <c r="F58" s="1519"/>
      <c r="G58" s="1519"/>
      <c r="H58" s="1519"/>
      <c r="I58" s="1519"/>
      <c r="J58" s="1519"/>
      <c r="K58" s="1519"/>
      <c r="L58" s="1519"/>
      <c r="M58" s="1520"/>
    </row>
    <row r="59" spans="1:13" s="6" customFormat="1">
      <c r="B59" s="1518"/>
      <c r="C59" s="1519"/>
      <c r="D59" s="1519"/>
      <c r="E59" s="1519"/>
      <c r="F59" s="1519"/>
      <c r="G59" s="1519"/>
      <c r="H59" s="1519"/>
      <c r="I59" s="1519"/>
      <c r="J59" s="1519"/>
      <c r="K59" s="1519"/>
      <c r="L59" s="1519"/>
      <c r="M59" s="1520"/>
    </row>
    <row r="60" spans="1:13" s="6" customFormat="1">
      <c r="B60" s="1518"/>
      <c r="C60" s="1519"/>
      <c r="D60" s="1519"/>
      <c r="E60" s="1519"/>
      <c r="F60" s="1519"/>
      <c r="G60" s="1519"/>
      <c r="H60" s="1519"/>
      <c r="I60" s="1519"/>
      <c r="J60" s="1519"/>
      <c r="K60" s="1519"/>
      <c r="L60" s="1519"/>
      <c r="M60" s="1520"/>
    </row>
    <row r="61" spans="1:13" s="6" customFormat="1">
      <c r="B61" s="1518"/>
      <c r="C61" s="1519"/>
      <c r="D61" s="1519"/>
      <c r="E61" s="1519"/>
      <c r="F61" s="1519"/>
      <c r="G61" s="1519"/>
      <c r="H61" s="1519"/>
      <c r="I61" s="1519"/>
      <c r="J61" s="1519"/>
      <c r="K61" s="1519"/>
      <c r="L61" s="1519"/>
      <c r="M61" s="1520"/>
    </row>
    <row r="62" spans="1:13">
      <c r="A62" s="6"/>
      <c r="B62" s="1518"/>
      <c r="C62" s="1519"/>
      <c r="D62" s="1519"/>
      <c r="E62" s="1519"/>
      <c r="F62" s="1519"/>
      <c r="G62" s="1519"/>
      <c r="H62" s="1519"/>
      <c r="I62" s="1519"/>
      <c r="J62" s="1519"/>
      <c r="K62" s="1519"/>
      <c r="L62" s="1519"/>
      <c r="M62" s="1520"/>
    </row>
    <row r="63" spans="1:13">
      <c r="A63" s="6"/>
      <c r="B63" s="1518"/>
      <c r="C63" s="1519"/>
      <c r="D63" s="1519"/>
      <c r="E63" s="1519"/>
      <c r="F63" s="1519"/>
      <c r="G63" s="1519"/>
      <c r="H63" s="1519"/>
      <c r="I63" s="1519"/>
      <c r="J63" s="1519"/>
      <c r="K63" s="1519"/>
      <c r="L63" s="1519"/>
      <c r="M63" s="1520"/>
    </row>
    <row r="64" spans="1:13">
      <c r="A64" s="6"/>
      <c r="B64" s="1518"/>
      <c r="C64" s="1519"/>
      <c r="D64" s="1519"/>
      <c r="E64" s="1519"/>
      <c r="F64" s="1519"/>
      <c r="G64" s="1519"/>
      <c r="H64" s="1519"/>
      <c r="I64" s="1519"/>
      <c r="J64" s="1519"/>
      <c r="K64" s="1519"/>
      <c r="L64" s="1519"/>
      <c r="M64" s="1520"/>
    </row>
    <row r="65" spans="2:13">
      <c r="B65" s="1518"/>
      <c r="C65" s="1519"/>
      <c r="D65" s="1519"/>
      <c r="E65" s="1519"/>
      <c r="F65" s="1519"/>
      <c r="G65" s="1519"/>
      <c r="H65" s="1519"/>
      <c r="I65" s="1519"/>
      <c r="J65" s="1519"/>
      <c r="K65" s="1519"/>
      <c r="L65" s="1519"/>
      <c r="M65" s="1520"/>
    </row>
    <row r="66" spans="2:13">
      <c r="B66" s="1518"/>
      <c r="C66" s="1519"/>
      <c r="D66" s="1519"/>
      <c r="E66" s="1519"/>
      <c r="F66" s="1519"/>
      <c r="G66" s="1519"/>
      <c r="H66" s="1519"/>
      <c r="I66" s="1519"/>
      <c r="J66" s="1519"/>
      <c r="K66" s="1519"/>
      <c r="L66" s="1519"/>
      <c r="M66" s="1520"/>
    </row>
    <row r="67" spans="2:13">
      <c r="B67" s="1518"/>
      <c r="C67" s="1519"/>
      <c r="D67" s="1519"/>
      <c r="E67" s="1519"/>
      <c r="F67" s="1519"/>
      <c r="G67" s="1519"/>
      <c r="H67" s="1519"/>
      <c r="I67" s="1519"/>
      <c r="J67" s="1519"/>
      <c r="K67" s="1519"/>
      <c r="L67" s="1519"/>
      <c r="M67" s="1520"/>
    </row>
    <row r="68" spans="2:13">
      <c r="B68" s="1518"/>
      <c r="C68" s="1519"/>
      <c r="D68" s="1519"/>
      <c r="E68" s="1519"/>
      <c r="F68" s="1519"/>
      <c r="G68" s="1519"/>
      <c r="H68" s="1519"/>
      <c r="I68" s="1519"/>
      <c r="J68" s="1519"/>
      <c r="K68" s="1519"/>
      <c r="L68" s="1519"/>
      <c r="M68" s="1520"/>
    </row>
    <row r="69" spans="2:13">
      <c r="B69" s="1518"/>
      <c r="C69" s="1519"/>
      <c r="D69" s="1519"/>
      <c r="E69" s="1519"/>
      <c r="F69" s="1519"/>
      <c r="G69" s="1519"/>
      <c r="H69" s="1519"/>
      <c r="I69" s="1519"/>
      <c r="J69" s="1519"/>
      <c r="K69" s="1519"/>
      <c r="L69" s="1519"/>
      <c r="M69" s="1520"/>
    </row>
    <row r="70" spans="2:13">
      <c r="B70" s="1518"/>
      <c r="C70" s="1519"/>
      <c r="D70" s="1519"/>
      <c r="E70" s="1519"/>
      <c r="F70" s="1519"/>
      <c r="G70" s="1519"/>
      <c r="H70" s="1519"/>
      <c r="I70" s="1519"/>
      <c r="J70" s="1519"/>
      <c r="K70" s="1519"/>
      <c r="L70" s="1519"/>
      <c r="M70" s="1520"/>
    </row>
    <row r="71" spans="2:13">
      <c r="B71" s="1518"/>
      <c r="C71" s="1519"/>
      <c r="D71" s="1519"/>
      <c r="E71" s="1519"/>
      <c r="F71" s="1519"/>
      <c r="G71" s="1519"/>
      <c r="H71" s="1519"/>
      <c r="I71" s="1519"/>
      <c r="J71" s="1519"/>
      <c r="K71" s="1519"/>
      <c r="L71" s="1519"/>
      <c r="M71" s="1520"/>
    </row>
    <row r="72" spans="2:13">
      <c r="B72" s="1518"/>
      <c r="C72" s="1519"/>
      <c r="D72" s="1519"/>
      <c r="E72" s="1519"/>
      <c r="F72" s="1519"/>
      <c r="G72" s="1519"/>
      <c r="H72" s="1519"/>
      <c r="I72" s="1519"/>
      <c r="J72" s="1519"/>
      <c r="K72" s="1519"/>
      <c r="L72" s="1519"/>
      <c r="M72" s="1520"/>
    </row>
    <row r="73" spans="2:13">
      <c r="B73" s="1518"/>
      <c r="C73" s="1519"/>
      <c r="D73" s="1519"/>
      <c r="E73" s="1519"/>
      <c r="F73" s="1519"/>
      <c r="G73" s="1519"/>
      <c r="H73" s="1519"/>
      <c r="I73" s="1519"/>
      <c r="J73" s="1519"/>
      <c r="K73" s="1519"/>
      <c r="L73" s="1519"/>
      <c r="M73" s="1520"/>
    </row>
    <row r="74" spans="2:13">
      <c r="B74" s="1518"/>
      <c r="C74" s="1519"/>
      <c r="D74" s="1519"/>
      <c r="E74" s="1519"/>
      <c r="F74" s="1519"/>
      <c r="G74" s="1519"/>
      <c r="H74" s="1519"/>
      <c r="I74" s="1519"/>
      <c r="J74" s="1519"/>
      <c r="K74" s="1519"/>
      <c r="L74" s="1519"/>
      <c r="M74" s="1520"/>
    </row>
    <row r="75" spans="2:13">
      <c r="B75" s="1518"/>
      <c r="C75" s="1519"/>
      <c r="D75" s="1519"/>
      <c r="E75" s="1519"/>
      <c r="F75" s="1519"/>
      <c r="G75" s="1519"/>
      <c r="H75" s="1519"/>
      <c r="I75" s="1519"/>
      <c r="J75" s="1519"/>
      <c r="K75" s="1519"/>
      <c r="L75" s="1519"/>
      <c r="M75" s="1520"/>
    </row>
    <row r="76" spans="2:13">
      <c r="B76" s="1518"/>
      <c r="C76" s="1519"/>
      <c r="D76" s="1519"/>
      <c r="E76" s="1519"/>
      <c r="F76" s="1519"/>
      <c r="G76" s="1519"/>
      <c r="H76" s="1519"/>
      <c r="I76" s="1519"/>
      <c r="J76" s="1519"/>
      <c r="K76" s="1519"/>
      <c r="L76" s="1519"/>
      <c r="M76" s="1520"/>
    </row>
    <row r="77" spans="2:13">
      <c r="B77" s="1518"/>
      <c r="C77" s="1519"/>
      <c r="D77" s="1519"/>
      <c r="E77" s="1519"/>
      <c r="F77" s="1519"/>
      <c r="G77" s="1519"/>
      <c r="H77" s="1519"/>
      <c r="I77" s="1519"/>
      <c r="J77" s="1519"/>
      <c r="K77" s="1519"/>
      <c r="L77" s="1519"/>
      <c r="M77" s="1520"/>
    </row>
    <row r="78" spans="2:13" ht="69.75" customHeight="1" thickBot="1">
      <c r="B78" s="1521"/>
      <c r="C78" s="1522"/>
      <c r="D78" s="1522"/>
      <c r="E78" s="1522"/>
      <c r="F78" s="1522"/>
      <c r="G78" s="1522"/>
      <c r="H78" s="1522"/>
      <c r="I78" s="1522"/>
      <c r="J78" s="1522"/>
      <c r="K78" s="1522"/>
      <c r="L78" s="1522"/>
      <c r="M78" s="1523"/>
    </row>
    <row r="79" spans="2:13" ht="15.75" thickTop="1">
      <c r="B79" s="20"/>
      <c r="C79" s="20"/>
      <c r="D79" s="20"/>
      <c r="E79" s="20"/>
      <c r="F79" s="20"/>
      <c r="G79" s="20"/>
      <c r="H79" s="20"/>
      <c r="I79" s="20"/>
      <c r="J79" s="20"/>
      <c r="K79" s="20"/>
      <c r="L79" s="20"/>
      <c r="M79" s="20"/>
    </row>
    <row r="102" spans="2:13">
      <c r="B102" s="20"/>
      <c r="C102" s="20"/>
      <c r="D102" s="20"/>
      <c r="E102" s="20"/>
      <c r="F102" s="20"/>
      <c r="G102" s="20"/>
      <c r="H102" s="20"/>
      <c r="I102" s="20"/>
      <c r="J102" s="20"/>
      <c r="K102" s="20"/>
      <c r="L102" s="20"/>
      <c r="M102" s="20"/>
    </row>
    <row r="103" spans="2:13">
      <c r="B103" s="20"/>
      <c r="C103" s="20"/>
      <c r="D103" s="20"/>
      <c r="E103" s="20"/>
      <c r="F103" s="20"/>
      <c r="G103" s="20"/>
      <c r="H103" s="20"/>
      <c r="I103" s="20"/>
      <c r="J103" s="20"/>
      <c r="K103" s="20"/>
      <c r="L103" s="20"/>
      <c r="M103" s="20"/>
    </row>
  </sheetData>
  <mergeCells count="2">
    <mergeCell ref="B11:M78"/>
    <mergeCell ref="A10:N10"/>
  </mergeCells>
  <pageMargins left="0.7" right="0.7" top="0.75" bottom="0.75" header="0.3" footer="0.3"/>
  <pageSetup orientation="portrait" horizontalDpi="4294967292" verticalDpi="200"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30"/>
  <sheetViews>
    <sheetView workbookViewId="0">
      <selection activeCell="C6" sqref="C6"/>
    </sheetView>
  </sheetViews>
  <sheetFormatPr baseColWidth="10" defaultColWidth="0" defaultRowHeight="0" customHeight="1" zeroHeight="1"/>
  <cols>
    <col min="1" max="1" width="42.140625" style="64" customWidth="1"/>
    <col min="2" max="2" width="32.85546875" style="64" customWidth="1"/>
    <col min="3" max="3" width="10.85546875" style="64" bestFit="1" customWidth="1"/>
    <col min="4" max="12" width="11.85546875" style="64" bestFit="1" customWidth="1"/>
    <col min="13" max="13" width="11.42578125" style="867" customWidth="1"/>
    <col min="14" max="14" width="0" style="64" hidden="1" customWidth="1"/>
    <col min="15" max="16384" width="11.42578125" style="64" hidden="1"/>
  </cols>
  <sheetData>
    <row r="1" spans="1:12" s="886" customFormat="1" ht="23.25">
      <c r="B1" s="1041"/>
      <c r="C1" s="886" t="s">
        <v>710</v>
      </c>
    </row>
    <row r="2" spans="1:12" s="886" customFormat="1" ht="12.75">
      <c r="D2" s="1042" t="s">
        <v>710</v>
      </c>
    </row>
    <row r="3" spans="1:12" s="886" customFormat="1" ht="23.25">
      <c r="B3" s="1043" t="s">
        <v>710</v>
      </c>
      <c r="C3" s="1632"/>
      <c r="D3" s="1632"/>
      <c r="E3" s="1632"/>
      <c r="F3" s="1632"/>
      <c r="G3" s="1632"/>
    </row>
    <row r="4" spans="1:12" s="886" customFormat="1" ht="24" thickBot="1">
      <c r="A4" s="1041" t="s">
        <v>1120</v>
      </c>
      <c r="C4" s="886">
        <v>6</v>
      </c>
      <c r="D4" s="886">
        <v>7</v>
      </c>
      <c r="E4" s="886">
        <v>8</v>
      </c>
      <c r="F4" s="886">
        <v>9</v>
      </c>
      <c r="G4" s="886">
        <v>10</v>
      </c>
      <c r="H4" s="886">
        <v>11</v>
      </c>
      <c r="I4" s="886">
        <v>12</v>
      </c>
      <c r="J4" s="886">
        <v>13</v>
      </c>
      <c r="K4" s="886">
        <v>14</v>
      </c>
      <c r="L4" s="886">
        <v>15</v>
      </c>
    </row>
    <row r="5" spans="1:12" ht="15.75" thickBot="1">
      <c r="A5" s="1044" t="s">
        <v>1121</v>
      </c>
      <c r="B5" s="1045"/>
      <c r="C5" s="1046">
        <v>2014</v>
      </c>
      <c r="D5" s="1046">
        <v>2015</v>
      </c>
      <c r="E5" s="1046">
        <v>2016</v>
      </c>
      <c r="F5" s="1046">
        <v>2017</v>
      </c>
      <c r="G5" s="1046">
        <v>2018</v>
      </c>
      <c r="H5" s="1046">
        <v>2019</v>
      </c>
      <c r="I5" s="1046">
        <v>2020</v>
      </c>
      <c r="J5" s="1046">
        <v>2021</v>
      </c>
      <c r="K5" s="1046">
        <v>2022</v>
      </c>
      <c r="L5" s="1046">
        <v>2023</v>
      </c>
    </row>
    <row r="6" spans="1:12" ht="15">
      <c r="A6" s="1047" t="s">
        <v>1122</v>
      </c>
      <c r="B6" s="795"/>
      <c r="C6" s="1048">
        <f>+FER!J9</f>
        <v>99918.35</v>
      </c>
      <c r="D6" s="1048">
        <f>+VLOOKUP($B$15,'Proyección Ventas'!$A$27:$K$30,3)</f>
        <v>106682.82229500002</v>
      </c>
      <c r="E6" s="1048">
        <f>+VLOOKUP($B$15,'Proyección Ventas'!$A$27:$K$30,4)</f>
        <v>113905.24936437153</v>
      </c>
      <c r="F6" s="1048">
        <f>+VLOOKUP($B$15,'Proyección Ventas'!$A$27:$K$30,5)</f>
        <v>121616.63474633949</v>
      </c>
      <c r="G6" s="1048">
        <f>+VLOOKUP($B$15,'Proyección Ventas'!$A$27:$K$30,6)</f>
        <v>129850.08091866669</v>
      </c>
      <c r="H6" s="1048">
        <f>+VLOOKUP($B$15,'Proyección Ventas'!$A$27:$K$30,7)</f>
        <v>138640.93139686043</v>
      </c>
      <c r="I6" s="1048">
        <f>+VLOOKUP($B$15,'Proyección Ventas'!$A$27:$K$30,8)</f>
        <v>148026.92245242788</v>
      </c>
      <c r="J6" s="1048">
        <f>+VLOOKUP($B$15,'Proyección Ventas'!$A$27:$K$30,9)</f>
        <v>158048.34510245727</v>
      </c>
      <c r="K6" s="1048">
        <f>+VLOOKUP($B$15,'Proyección Ventas'!$A$27:$K$30,10)</f>
        <v>168748.21806589366</v>
      </c>
      <c r="L6" s="1048">
        <f>+VLOOKUP($B$15,'Proyección Ventas'!$A$27:$K$30,11)</f>
        <v>180172.47242895467</v>
      </c>
    </row>
    <row r="7" spans="1:12" ht="15">
      <c r="A7" s="1049" t="s">
        <v>1123</v>
      </c>
      <c r="B7" s="1050"/>
      <c r="C7" s="1051">
        <f>+FER!J10</f>
        <v>37860.730000000003</v>
      </c>
      <c r="D7" s="1051">
        <f>+D$6*($C7/$C$6)</f>
        <v>40423.90142100001</v>
      </c>
      <c r="E7" s="1051">
        <f t="shared" ref="E7:L9" si="0">+E$6*($C7/$C$6)</f>
        <v>43160.599547201709</v>
      </c>
      <c r="F7" s="1051">
        <f t="shared" si="0"/>
        <v>46082.572136547271</v>
      </c>
      <c r="G7" s="1051">
        <f t="shared" si="0"/>
        <v>49202.36227019153</v>
      </c>
      <c r="H7" s="1051">
        <f t="shared" si="0"/>
        <v>52533.362195883492</v>
      </c>
      <c r="I7" s="1051">
        <f t="shared" si="0"/>
        <v>56089.870816544812</v>
      </c>
      <c r="J7" s="1051">
        <f t="shared" si="0"/>
        <v>59887.155070824905</v>
      </c>
      <c r="K7" s="1051">
        <f t="shared" si="0"/>
        <v>63941.51546911976</v>
      </c>
      <c r="L7" s="1051">
        <f t="shared" si="0"/>
        <v>68270.356066379172</v>
      </c>
    </row>
    <row r="8" spans="1:12" ht="15">
      <c r="A8" s="1049" t="s">
        <v>1124</v>
      </c>
      <c r="B8" s="1050"/>
      <c r="C8" s="1051">
        <f>+FER!J12</f>
        <v>30200.880000000001</v>
      </c>
      <c r="D8" s="1051">
        <f>+D$6*($C8/$C$6)</f>
        <v>32245.479576000005</v>
      </c>
      <c r="E8" s="1051">
        <f t="shared" si="0"/>
        <v>34428.498543295209</v>
      </c>
      <c r="F8" s="1051">
        <f t="shared" si="0"/>
        <v>36759.307894676298</v>
      </c>
      <c r="G8" s="1051">
        <f t="shared" si="0"/>
        <v>39247.913039145889</v>
      </c>
      <c r="H8" s="1051">
        <f t="shared" si="0"/>
        <v>41904.996751896062</v>
      </c>
      <c r="I8" s="1051">
        <f t="shared" si="0"/>
        <v>44741.965031999433</v>
      </c>
      <c r="J8" s="1051">
        <f t="shared" si="0"/>
        <v>47770.9960646658</v>
      </c>
      <c r="K8" s="1051">
        <f t="shared" si="0"/>
        <v>51005.092498243677</v>
      </c>
      <c r="L8" s="1051">
        <f t="shared" si="0"/>
        <v>54458.13726037478</v>
      </c>
    </row>
    <row r="9" spans="1:12" ht="15">
      <c r="A9" s="1049" t="s">
        <v>1125</v>
      </c>
      <c r="B9" s="1050"/>
      <c r="C9" s="1051">
        <f>+FER!J13</f>
        <v>18952.78</v>
      </c>
      <c r="D9" s="1051">
        <f>+D$6*($C9/$C$6)</f>
        <v>20235.883206000002</v>
      </c>
      <c r="E9" s="1051">
        <f t="shared" si="0"/>
        <v>21605.852499046203</v>
      </c>
      <c r="F9" s="1051">
        <f t="shared" si="0"/>
        <v>23068.568713231634</v>
      </c>
      <c r="G9" s="1051">
        <f t="shared" si="0"/>
        <v>24630.310815117416</v>
      </c>
      <c r="H9" s="1051">
        <f t="shared" si="0"/>
        <v>26297.782857300866</v>
      </c>
      <c r="I9" s="1051">
        <f t="shared" si="0"/>
        <v>28078.142756740137</v>
      </c>
      <c r="J9" s="1051">
        <f t="shared" si="0"/>
        <v>29979.033021371448</v>
      </c>
      <c r="K9" s="1051">
        <f t="shared" si="0"/>
        <v>32008.613556918299</v>
      </c>
      <c r="L9" s="1051">
        <f t="shared" si="0"/>
        <v>34175.596694721673</v>
      </c>
    </row>
    <row r="10" spans="1:12" ht="15">
      <c r="A10" s="1049" t="s">
        <v>1126</v>
      </c>
      <c r="B10" s="1050"/>
      <c r="C10" s="1051">
        <f>+FER!J43</f>
        <v>3100.7890000000002</v>
      </c>
      <c r="D10" s="1051">
        <f>+(D7*'Comparación de indicadores'!$I$77)/365</f>
        <v>3310.7124153000009</v>
      </c>
      <c r="E10" s="1051">
        <f>+(E7*'Comparación de indicadores'!$I$77)/365</f>
        <v>3534.8476458158107</v>
      </c>
      <c r="F10" s="1051">
        <f>+(F7*'Comparación de indicadores'!$I$77)/365</f>
        <v>3774.1568314375413</v>
      </c>
      <c r="G10" s="1051">
        <f>+(G7*'Comparación de indicadores'!$I$77)/365</f>
        <v>4029.667248925864</v>
      </c>
      <c r="H10" s="1051">
        <f>+(H7*'Comparación de indicadores'!$I$77)/365</f>
        <v>4302.4757216781445</v>
      </c>
      <c r="I10" s="1051">
        <f>+(I7*'Comparación de indicadores'!$I$77)/365</f>
        <v>4593.7533280357557</v>
      </c>
      <c r="J10" s="1051">
        <f>+(J7*'Comparación de indicadores'!$I$77)/365</f>
        <v>4904.7504283437765</v>
      </c>
      <c r="K10" s="1051">
        <f>+(K7*'Comparación de indicadores'!$I$77)/365</f>
        <v>5236.8020323426517</v>
      </c>
      <c r="L10" s="1051">
        <f>+(L7*'Comparación de indicadores'!$I$77)/365</f>
        <v>5591.3335299322489</v>
      </c>
    </row>
    <row r="11" spans="1:12" ht="15">
      <c r="A11" s="1049" t="s">
        <v>1127</v>
      </c>
      <c r="B11" s="1050"/>
      <c r="C11" s="1051">
        <f>+FER!J31</f>
        <v>0</v>
      </c>
      <c r="D11" s="1051">
        <f>+(D7*'Comparación de indicadores'!$I$62)/365</f>
        <v>0</v>
      </c>
      <c r="E11" s="1051">
        <f>+(E7*'Comparación de indicadores'!$I$62)/365</f>
        <v>0</v>
      </c>
      <c r="F11" s="1051">
        <f>+(F7*'Comparación de indicadores'!$I$62)/365</f>
        <v>0</v>
      </c>
      <c r="G11" s="1051">
        <f>+(G7*'Comparación de indicadores'!$I$62)/365</f>
        <v>0</v>
      </c>
      <c r="H11" s="1051">
        <f>+(H7*'Comparación de indicadores'!$I$62)/365</f>
        <v>0</v>
      </c>
      <c r="I11" s="1051">
        <f>+(I7*'Comparación de indicadores'!$I$62)/365</f>
        <v>0</v>
      </c>
      <c r="J11" s="1051">
        <f>+(J7*'Comparación de indicadores'!$I$62)/365</f>
        <v>0</v>
      </c>
      <c r="K11" s="1051">
        <f>+(K7*'Comparación de indicadores'!$I$62)/365</f>
        <v>0</v>
      </c>
      <c r="L11" s="1051">
        <f>+(L7*'Comparación de indicadores'!$I$62)/365</f>
        <v>0</v>
      </c>
    </row>
    <row r="12" spans="1:12" ht="15">
      <c r="A12" s="1049" t="s">
        <v>1128</v>
      </c>
      <c r="B12" s="1050"/>
      <c r="C12" s="1052">
        <f>+FER!J30</f>
        <v>78654.81</v>
      </c>
      <c r="D12" s="1052">
        <f>+(D6*'Comparación de indicadores'!$I$75)/365</f>
        <v>30569.259976500001</v>
      </c>
      <c r="E12" s="1052">
        <f>+(E6*'Comparación de indicadores'!$I$75)/365</f>
        <v>32638.798876909055</v>
      </c>
      <c r="F12" s="1052">
        <f>+(F6*'Comparación de indicadores'!$I$75)/365</f>
        <v>34848.4455608758</v>
      </c>
      <c r="G12" s="1052">
        <f>+(G6*'Comparación de indicadores'!$I$75)/365</f>
        <v>37207.685325347098</v>
      </c>
      <c r="H12" s="1052">
        <f>+(H6*'Comparación de indicadores'!$I$75)/365</f>
        <v>39726.645621873096</v>
      </c>
      <c r="I12" s="1052">
        <f>+(I6*'Comparación de indicadores'!$I$75)/365</f>
        <v>42416.139530473905</v>
      </c>
      <c r="J12" s="1052">
        <f>+(J6*'Comparación de indicadores'!$I$75)/365</f>
        <v>45287.712176686997</v>
      </c>
      <c r="K12" s="1052">
        <f>+(K6*'Comparación de indicadores'!$I$75)/365</f>
        <v>48353.690291048719</v>
      </c>
      <c r="L12" s="1052">
        <f>+(L6*'Comparación de indicadores'!$I$75)/365</f>
        <v>51627.235123752718</v>
      </c>
    </row>
    <row r="13" spans="1:12" ht="15">
      <c r="A13" s="1049" t="s">
        <v>1129</v>
      </c>
      <c r="B13" s="1050"/>
      <c r="C13" s="1052">
        <f t="shared" ref="C13:L13" si="1">C11+C12-C10</f>
        <v>75554.020999999993</v>
      </c>
      <c r="D13" s="1052">
        <f t="shared" si="1"/>
        <v>27258.547561200001</v>
      </c>
      <c r="E13" s="1052">
        <f t="shared" si="1"/>
        <v>29103.951231093244</v>
      </c>
      <c r="F13" s="1052">
        <f t="shared" si="1"/>
        <v>31074.28872943826</v>
      </c>
      <c r="G13" s="1052">
        <f t="shared" si="1"/>
        <v>33178.018076421235</v>
      </c>
      <c r="H13" s="1052">
        <f t="shared" si="1"/>
        <v>35424.169900194953</v>
      </c>
      <c r="I13" s="1052">
        <f t="shared" si="1"/>
        <v>37822.386202438152</v>
      </c>
      <c r="J13" s="1052">
        <f t="shared" si="1"/>
        <v>40382.961748343223</v>
      </c>
      <c r="K13" s="1052">
        <f t="shared" si="1"/>
        <v>43116.888258706065</v>
      </c>
      <c r="L13" s="1052">
        <f t="shared" si="1"/>
        <v>46035.901593820468</v>
      </c>
    </row>
    <row r="14" spans="1:12" ht="15.75" thickBot="1">
      <c r="A14" s="1053" t="s">
        <v>1130</v>
      </c>
      <c r="B14" s="1054"/>
      <c r="C14" s="1055"/>
      <c r="D14" s="1055">
        <f>+C13-D13</f>
        <v>48295.473438799992</v>
      </c>
      <c r="E14" s="1055">
        <f t="shared" ref="E14:L14" si="2">+D13-E13</f>
        <v>-1845.4036698932432</v>
      </c>
      <c r="F14" s="1055">
        <f t="shared" si="2"/>
        <v>-1970.3374983450158</v>
      </c>
      <c r="G14" s="1055">
        <f t="shared" si="2"/>
        <v>-2103.7293469829747</v>
      </c>
      <c r="H14" s="1055">
        <f t="shared" si="2"/>
        <v>-2246.1518237737182</v>
      </c>
      <c r="I14" s="1055">
        <f t="shared" si="2"/>
        <v>-2398.2163022431996</v>
      </c>
      <c r="J14" s="1055">
        <f t="shared" si="2"/>
        <v>-2560.5755459050706</v>
      </c>
      <c r="K14" s="1055">
        <f t="shared" si="2"/>
        <v>-2733.9265103628422</v>
      </c>
      <c r="L14" s="1055">
        <f t="shared" si="2"/>
        <v>-2919.0133351144032</v>
      </c>
    </row>
    <row r="15" spans="1:12" s="886" customFormat="1" ht="12.75">
      <c r="B15" s="886">
        <v>2</v>
      </c>
    </row>
    <row r="16" spans="1:12" s="886" customFormat="1" ht="13.5" thickBot="1">
      <c r="C16" s="886">
        <v>2</v>
      </c>
      <c r="D16" s="886">
        <v>3</v>
      </c>
      <c r="E16" s="886">
        <v>4</v>
      </c>
      <c r="F16" s="886">
        <v>5</v>
      </c>
      <c r="G16" s="886">
        <v>6</v>
      </c>
      <c r="H16" s="886">
        <v>7</v>
      </c>
    </row>
    <row r="17" spans="1:12" ht="15.75" thickBot="1">
      <c r="A17" s="1056" t="s">
        <v>1131</v>
      </c>
      <c r="C17" s="1046">
        <v>2015</v>
      </c>
      <c r="D17" s="1046">
        <v>2016</v>
      </c>
      <c r="E17" s="1046">
        <v>2017</v>
      </c>
      <c r="F17" s="1046">
        <v>2018</v>
      </c>
      <c r="G17" s="1046">
        <v>2019</v>
      </c>
      <c r="H17" s="1046">
        <v>2020</v>
      </c>
      <c r="I17" s="1046">
        <v>2021</v>
      </c>
      <c r="J17" s="1046">
        <v>2022</v>
      </c>
      <c r="K17" s="1046">
        <v>2023</v>
      </c>
      <c r="L17" s="867"/>
    </row>
    <row r="18" spans="1:12" ht="15">
      <c r="A18" s="1057" t="s">
        <v>12</v>
      </c>
      <c r="B18" s="400"/>
      <c r="C18" s="1058">
        <f>+D6</f>
        <v>106682.82229500002</v>
      </c>
      <c r="D18" s="1058">
        <f t="shared" ref="D18:K21" si="3">+E6</f>
        <v>113905.24936437153</v>
      </c>
      <c r="E18" s="1058">
        <f t="shared" si="3"/>
        <v>121616.63474633949</v>
      </c>
      <c r="F18" s="1058">
        <f t="shared" si="3"/>
        <v>129850.08091866669</v>
      </c>
      <c r="G18" s="1058">
        <f t="shared" si="3"/>
        <v>138640.93139686043</v>
      </c>
      <c r="H18" s="1058">
        <f t="shared" si="3"/>
        <v>148026.92245242788</v>
      </c>
      <c r="I18" s="1058">
        <f t="shared" si="3"/>
        <v>158048.34510245727</v>
      </c>
      <c r="J18" s="1058">
        <f t="shared" si="3"/>
        <v>168748.21806589366</v>
      </c>
      <c r="K18" s="1058">
        <f t="shared" si="3"/>
        <v>180172.47242895467</v>
      </c>
      <c r="L18" s="867"/>
    </row>
    <row r="19" spans="1:12" ht="15">
      <c r="A19" s="1059" t="s">
        <v>1132</v>
      </c>
      <c r="B19" s="126"/>
      <c r="C19" s="1058">
        <f>+D7</f>
        <v>40423.90142100001</v>
      </c>
      <c r="D19" s="1058">
        <f t="shared" si="3"/>
        <v>43160.599547201709</v>
      </c>
      <c r="E19" s="1058">
        <f t="shared" si="3"/>
        <v>46082.572136547271</v>
      </c>
      <c r="F19" s="1058">
        <f t="shared" si="3"/>
        <v>49202.36227019153</v>
      </c>
      <c r="G19" s="1058">
        <f t="shared" si="3"/>
        <v>52533.362195883492</v>
      </c>
      <c r="H19" s="1058">
        <f t="shared" si="3"/>
        <v>56089.870816544812</v>
      </c>
      <c r="I19" s="1058">
        <f t="shared" si="3"/>
        <v>59887.155070824905</v>
      </c>
      <c r="J19" s="1058">
        <f t="shared" si="3"/>
        <v>63941.51546911976</v>
      </c>
      <c r="K19" s="1058">
        <f t="shared" si="3"/>
        <v>68270.356066379172</v>
      </c>
      <c r="L19" s="867"/>
    </row>
    <row r="20" spans="1:12" ht="15">
      <c r="A20" s="1059" t="s">
        <v>1133</v>
      </c>
      <c r="B20" s="126"/>
      <c r="C20" s="1058">
        <f>+D8</f>
        <v>32245.479576000005</v>
      </c>
      <c r="D20" s="1058">
        <f t="shared" si="3"/>
        <v>34428.498543295209</v>
      </c>
      <c r="E20" s="1058">
        <f t="shared" si="3"/>
        <v>36759.307894676298</v>
      </c>
      <c r="F20" s="1058">
        <f t="shared" si="3"/>
        <v>39247.913039145889</v>
      </c>
      <c r="G20" s="1058">
        <f t="shared" si="3"/>
        <v>41904.996751896062</v>
      </c>
      <c r="H20" s="1058">
        <f t="shared" si="3"/>
        <v>44741.965031999433</v>
      </c>
      <c r="I20" s="1058">
        <f t="shared" si="3"/>
        <v>47770.9960646658</v>
      </c>
      <c r="J20" s="1058">
        <f t="shared" si="3"/>
        <v>51005.092498243677</v>
      </c>
      <c r="K20" s="1058">
        <f t="shared" si="3"/>
        <v>54458.13726037478</v>
      </c>
      <c r="L20" s="867"/>
    </row>
    <row r="21" spans="1:12" ht="15">
      <c r="A21" s="1059" t="s">
        <v>1134</v>
      </c>
      <c r="B21" s="126"/>
      <c r="C21" s="1058">
        <f>+D9</f>
        <v>20235.883206000002</v>
      </c>
      <c r="D21" s="1058">
        <f t="shared" si="3"/>
        <v>21605.852499046203</v>
      </c>
      <c r="E21" s="1058">
        <f t="shared" si="3"/>
        <v>23068.568713231634</v>
      </c>
      <c r="F21" s="1058">
        <f t="shared" si="3"/>
        <v>24630.310815117416</v>
      </c>
      <c r="G21" s="1058">
        <f t="shared" si="3"/>
        <v>26297.782857300866</v>
      </c>
      <c r="H21" s="1058">
        <f t="shared" si="3"/>
        <v>28078.142756740137</v>
      </c>
      <c r="I21" s="1058">
        <f t="shared" si="3"/>
        <v>29979.033021371448</v>
      </c>
      <c r="J21" s="1058">
        <f t="shared" si="3"/>
        <v>32008.613556918299</v>
      </c>
      <c r="K21" s="1058">
        <f t="shared" si="3"/>
        <v>34175.596694721673</v>
      </c>
      <c r="L21" s="867"/>
    </row>
    <row r="22" spans="1:12" ht="15">
      <c r="A22" s="1059" t="s">
        <v>1135</v>
      </c>
      <c r="B22" s="1060">
        <v>0.34</v>
      </c>
      <c r="C22" s="1058">
        <f>+IF((C18-C19-C20-C21)&gt;0,(C18-C19-C20-C21)*$B$22,0)</f>
        <v>4684.369751279999</v>
      </c>
      <c r="D22" s="1058">
        <f t="shared" ref="D22:K22" si="4">+IF((D18-D19-D20-D21)&gt;0,(D18-D19-D20-D21)*$B$22,0)</f>
        <v>5001.501583441659</v>
      </c>
      <c r="E22" s="1058">
        <f t="shared" si="4"/>
        <v>5340.1032406406584</v>
      </c>
      <c r="F22" s="1058">
        <f t="shared" si="4"/>
        <v>5701.6282300320299</v>
      </c>
      <c r="G22" s="1058">
        <f t="shared" si="4"/>
        <v>6087.6284612051995</v>
      </c>
      <c r="H22" s="1058">
        <f t="shared" si="4"/>
        <v>6499.7609080287939</v>
      </c>
      <c r="I22" s="1058">
        <f t="shared" si="4"/>
        <v>6939.7947215023432</v>
      </c>
      <c r="J22" s="1058">
        <f t="shared" si="4"/>
        <v>7409.6188241480504</v>
      </c>
      <c r="K22" s="1058">
        <f t="shared" si="4"/>
        <v>7911.2500185428762</v>
      </c>
      <c r="L22" s="867"/>
    </row>
    <row r="23" spans="1:12" ht="15">
      <c r="A23" s="1059" t="s">
        <v>1136</v>
      </c>
      <c r="B23" s="126"/>
      <c r="C23" s="1058">
        <f>+C18-C19-C20-C21-C22</f>
        <v>9093.1883407199966</v>
      </c>
      <c r="D23" s="1058">
        <f t="shared" ref="D23:K23" si="5">+D18-D19-D20-D21-D22</f>
        <v>9708.7971913867477</v>
      </c>
      <c r="E23" s="1058">
        <f t="shared" si="5"/>
        <v>10366.08276124363</v>
      </c>
      <c r="F23" s="1058">
        <f t="shared" si="5"/>
        <v>11067.866564179822</v>
      </c>
      <c r="G23" s="1058">
        <f t="shared" si="5"/>
        <v>11817.161130574797</v>
      </c>
      <c r="H23" s="1058">
        <f t="shared" si="5"/>
        <v>12617.182939114715</v>
      </c>
      <c r="I23" s="1058">
        <f t="shared" si="5"/>
        <v>13471.366224092782</v>
      </c>
      <c r="J23" s="1058">
        <f t="shared" si="5"/>
        <v>14383.377717463862</v>
      </c>
      <c r="K23" s="1058">
        <f t="shared" si="5"/>
        <v>15357.13238893617</v>
      </c>
      <c r="L23" s="867"/>
    </row>
    <row r="24" spans="1:12" ht="15">
      <c r="A24" s="1059" t="s">
        <v>1137</v>
      </c>
      <c r="B24" s="126"/>
      <c r="C24" s="1058">
        <f>+D14</f>
        <v>48295.473438799992</v>
      </c>
      <c r="D24" s="1058">
        <f t="shared" ref="D24:K24" si="6">+E14</f>
        <v>-1845.4036698932432</v>
      </c>
      <c r="E24" s="1058">
        <f t="shared" si="6"/>
        <v>-1970.3374983450158</v>
      </c>
      <c r="F24" s="1058">
        <f t="shared" si="6"/>
        <v>-2103.7293469829747</v>
      </c>
      <c r="G24" s="1058">
        <f t="shared" si="6"/>
        <v>-2246.1518237737182</v>
      </c>
      <c r="H24" s="1058">
        <f t="shared" si="6"/>
        <v>-2398.2163022431996</v>
      </c>
      <c r="I24" s="1058">
        <f t="shared" si="6"/>
        <v>-2560.5755459050706</v>
      </c>
      <c r="J24" s="1058">
        <f t="shared" si="6"/>
        <v>-2733.9265103628422</v>
      </c>
      <c r="K24" s="1058">
        <f t="shared" si="6"/>
        <v>-2919.0133351144032</v>
      </c>
      <c r="L24" s="867"/>
    </row>
    <row r="25" spans="1:12" ht="15">
      <c r="A25" s="1059" t="s">
        <v>105</v>
      </c>
      <c r="B25" s="1061">
        <v>0.1</v>
      </c>
      <c r="C25" s="1058">
        <f>+IF(C23&gt;$B$28,C23*$B$25,0)</f>
        <v>0</v>
      </c>
      <c r="D25" s="1058">
        <f t="shared" ref="D25:K25" si="7">+IF(D23&gt;$B$28,D23*$B$25,0)</f>
        <v>0</v>
      </c>
      <c r="E25" s="1058">
        <f t="shared" si="7"/>
        <v>0</v>
      </c>
      <c r="F25" s="1058">
        <f t="shared" si="7"/>
        <v>0</v>
      </c>
      <c r="G25" s="1058">
        <f t="shared" si="7"/>
        <v>0</v>
      </c>
      <c r="H25" s="1058">
        <f t="shared" si="7"/>
        <v>0</v>
      </c>
      <c r="I25" s="1058">
        <f t="shared" si="7"/>
        <v>0</v>
      </c>
      <c r="J25" s="1058">
        <f t="shared" si="7"/>
        <v>0</v>
      </c>
      <c r="K25" s="1058">
        <f t="shared" si="7"/>
        <v>0</v>
      </c>
      <c r="L25" s="867"/>
    </row>
    <row r="26" spans="1:12" ht="15">
      <c r="A26" s="1059" t="s">
        <v>394</v>
      </c>
      <c r="B26" s="126"/>
      <c r="C26" s="1058">
        <f>+C23+C24-C25</f>
        <v>57388.661779519985</v>
      </c>
      <c r="D26" s="1058">
        <f t="shared" ref="D26:K26" si="8">+D23+D24-D25</f>
        <v>7863.3935214935045</v>
      </c>
      <c r="E26" s="1058">
        <f t="shared" si="8"/>
        <v>8395.7452628986139</v>
      </c>
      <c r="F26" s="1058">
        <f t="shared" si="8"/>
        <v>8964.1372171968469</v>
      </c>
      <c r="G26" s="1058">
        <f t="shared" si="8"/>
        <v>9571.0093068010792</v>
      </c>
      <c r="H26" s="1058">
        <f t="shared" si="8"/>
        <v>10218.966636871515</v>
      </c>
      <c r="I26" s="1058">
        <f t="shared" si="8"/>
        <v>10910.790678187712</v>
      </c>
      <c r="J26" s="1058">
        <f t="shared" si="8"/>
        <v>11649.451207101019</v>
      </c>
      <c r="K26" s="1058">
        <f t="shared" si="8"/>
        <v>12438.119053821767</v>
      </c>
      <c r="L26" s="867"/>
    </row>
    <row r="27" spans="1:12" s="867" customFormat="1" ht="15"/>
    <row r="28" spans="1:12" s="867" customFormat="1" ht="15">
      <c r="A28" s="488" t="s">
        <v>1138</v>
      </c>
      <c r="B28" s="1062">
        <v>20000</v>
      </c>
    </row>
    <row r="29" spans="1:12" s="867" customFormat="1" ht="15"/>
    <row r="30" spans="1:12" s="867" customFormat="1" ht="15"/>
  </sheetData>
  <mergeCells count="1">
    <mergeCell ref="C3:G3"/>
  </mergeCells>
  <pageMargins left="0.7" right="0.7" top="0.75" bottom="0.75" header="0.3" footer="0.3"/>
  <pageSetup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93953" r:id="rId4" name="Drop Down 1">
              <controlPr defaultSize="0" autoLine="0" autoPict="0">
                <anchor moveWithCells="1">
                  <from>
                    <xdr:col>1</xdr:col>
                    <xdr:colOff>0</xdr:colOff>
                    <xdr:row>5</xdr:row>
                    <xdr:rowOff>0</xdr:rowOff>
                  </from>
                  <to>
                    <xdr:col>1</xdr:col>
                    <xdr:colOff>2171700</xdr:colOff>
                    <xdr:row>5</xdr:row>
                    <xdr:rowOff>180975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40"/>
  <sheetViews>
    <sheetView showGridLines="0" topLeftCell="A18" workbookViewId="0">
      <selection activeCell="D40" sqref="D40"/>
    </sheetView>
  </sheetViews>
  <sheetFormatPr baseColWidth="10" defaultColWidth="0" defaultRowHeight="12.75" customHeight="1" zeroHeight="1"/>
  <cols>
    <col min="1" max="1" width="32.42578125" style="64" customWidth="1"/>
    <col min="2" max="2" width="17" style="64" customWidth="1"/>
    <col min="3" max="3" width="14.5703125" style="64" bestFit="1" customWidth="1"/>
    <col min="4" max="4" width="16" style="64" bestFit="1" customWidth="1"/>
    <col min="5" max="9" width="9.5703125" style="64" bestFit="1" customWidth="1"/>
    <col min="10" max="10" width="3.7109375" style="867" customWidth="1"/>
    <col min="11" max="16384" width="11.42578125" style="64" hidden="1"/>
  </cols>
  <sheetData>
    <row r="1" spans="1:10" s="867" customFormat="1" ht="15"/>
    <row r="2" spans="1:10" s="867" customFormat="1" ht="20.25">
      <c r="A2" s="1633" t="s">
        <v>1139</v>
      </c>
      <c r="B2" s="1633"/>
      <c r="C2" s="1633"/>
      <c r="D2" s="1633"/>
      <c r="E2" s="1633"/>
      <c r="F2" s="1633"/>
      <c r="G2" s="1633"/>
      <c r="H2" s="1633"/>
      <c r="I2" s="1633"/>
      <c r="J2" s="1633"/>
    </row>
    <row r="3" spans="1:10" s="867" customFormat="1" ht="15.75">
      <c r="A3" s="1063"/>
      <c r="B3" s="1063"/>
      <c r="C3" s="1063"/>
      <c r="D3" s="1063"/>
      <c r="E3" s="1063"/>
      <c r="F3" s="1063"/>
    </row>
    <row r="4" spans="1:10" ht="15.75">
      <c r="A4" s="1634" t="s">
        <v>1140</v>
      </c>
      <c r="B4" s="1635"/>
      <c r="D4" s="867"/>
      <c r="E4" s="867"/>
      <c r="F4" s="867"/>
      <c r="G4" s="867"/>
      <c r="H4" s="867"/>
      <c r="I4" s="867"/>
    </row>
    <row r="5" spans="1:10" ht="15">
      <c r="A5" s="1064" t="s">
        <v>1141</v>
      </c>
      <c r="B5" s="1029">
        <f>+FER!J43</f>
        <v>3100.7890000000002</v>
      </c>
      <c r="D5" s="867"/>
      <c r="E5" s="867"/>
      <c r="F5" s="867"/>
      <c r="G5" s="867"/>
      <c r="H5" s="867"/>
      <c r="I5" s="867"/>
    </row>
    <row r="6" spans="1:10" ht="15">
      <c r="A6" s="1064" t="s">
        <v>1435</v>
      </c>
      <c r="B6" s="1065">
        <f>+'Comparación de indicadores'!I77</f>
        <v>29.893453850467225</v>
      </c>
      <c r="C6" s="903"/>
      <c r="D6" s="867"/>
      <c r="E6" s="867"/>
      <c r="F6" s="867"/>
      <c r="G6" s="867"/>
      <c r="H6" s="867"/>
      <c r="I6" s="867"/>
    </row>
    <row r="7" spans="1:10" ht="15">
      <c r="A7" s="1064" t="s">
        <v>1436</v>
      </c>
      <c r="B7" s="1066">
        <f>365/B6</f>
        <v>12.210031059836707</v>
      </c>
      <c r="D7" s="867"/>
      <c r="E7" s="867"/>
      <c r="F7" s="867"/>
      <c r="G7" s="867"/>
      <c r="H7" s="867"/>
      <c r="I7" s="867"/>
    </row>
    <row r="8" spans="1:10" ht="15">
      <c r="A8" s="1064" t="s">
        <v>1142</v>
      </c>
      <c r="B8" s="278">
        <v>0.01</v>
      </c>
      <c r="C8" s="903" t="s">
        <v>710</v>
      </c>
      <c r="D8" s="867"/>
      <c r="E8" s="867"/>
      <c r="F8" s="867"/>
      <c r="G8" s="867"/>
      <c r="H8" s="867"/>
      <c r="I8" s="867"/>
    </row>
    <row r="9" spans="1:10" ht="15">
      <c r="A9" s="1064" t="s">
        <v>1437</v>
      </c>
      <c r="B9" s="1450">
        <f>+((1+B8)^(B7))-1</f>
        <v>0.12918242004621705</v>
      </c>
      <c r="C9" s="903" t="s">
        <v>1144</v>
      </c>
      <c r="D9" s="904"/>
      <c r="E9" s="867"/>
      <c r="F9" s="867"/>
      <c r="G9" s="867"/>
      <c r="H9" s="867"/>
      <c r="I9" s="867"/>
    </row>
    <row r="10" spans="1:10" s="867" customFormat="1" ht="15">
      <c r="A10" s="1068"/>
    </row>
    <row r="11" spans="1:10" s="867" customFormat="1" ht="15.75" thickBot="1">
      <c r="A11" s="1068" t="s">
        <v>710</v>
      </c>
    </row>
    <row r="12" spans="1:10" ht="16.5" thickBot="1">
      <c r="A12" s="1636" t="s">
        <v>1145</v>
      </c>
      <c r="B12" s="1637"/>
      <c r="C12" s="1638"/>
      <c r="D12" s="867"/>
      <c r="E12" s="867"/>
      <c r="F12" s="867"/>
      <c r="G12" s="867"/>
      <c r="H12" s="867"/>
      <c r="I12" s="867"/>
    </row>
    <row r="13" spans="1:10" ht="15">
      <c r="A13" s="1069" t="s">
        <v>1146</v>
      </c>
      <c r="B13" s="1070">
        <f>+FER!J42+FER!J51</f>
        <v>0</v>
      </c>
      <c r="C13" s="1071"/>
      <c r="D13" s="867"/>
      <c r="E13" s="867"/>
      <c r="F13" s="867"/>
      <c r="G13" s="867"/>
      <c r="H13" s="867"/>
      <c r="I13" s="867"/>
    </row>
    <row r="14" spans="1:10" ht="15">
      <c r="A14" s="1064" t="s">
        <v>1147</v>
      </c>
      <c r="B14" s="272"/>
      <c r="C14" s="272"/>
      <c r="D14" s="867"/>
      <c r="E14" s="867"/>
      <c r="F14" s="867"/>
      <c r="G14" s="867"/>
      <c r="H14" s="867"/>
      <c r="I14" s="867"/>
    </row>
    <row r="15" spans="1:10" ht="15">
      <c r="A15" s="1064" t="s">
        <v>1148</v>
      </c>
      <c r="B15" s="1067">
        <v>6.0600000000000001E-2</v>
      </c>
      <c r="C15" s="272" t="s">
        <v>1149</v>
      </c>
      <c r="D15" s="867"/>
      <c r="E15" s="867"/>
      <c r="F15" s="867"/>
      <c r="G15" s="867"/>
      <c r="H15" s="867"/>
      <c r="I15" s="867"/>
    </row>
    <row r="16" spans="1:10" ht="15">
      <c r="A16" s="1064" t="s">
        <v>1150</v>
      </c>
      <c r="B16" s="1067">
        <v>7.0000000000000007E-2</v>
      </c>
      <c r="C16" s="272" t="s">
        <v>1149</v>
      </c>
      <c r="D16" s="867"/>
      <c r="E16" s="867"/>
      <c r="F16" s="867"/>
      <c r="G16" s="867"/>
      <c r="H16" s="867"/>
      <c r="I16" s="867"/>
    </row>
    <row r="17" spans="1:9" ht="15">
      <c r="A17" s="1064" t="s">
        <v>1151</v>
      </c>
      <c r="B17" s="1067">
        <f>+B15+B16</f>
        <v>0.13059999999999999</v>
      </c>
      <c r="C17" s="272" t="s">
        <v>1149</v>
      </c>
      <c r="D17" s="867"/>
      <c r="E17" s="867"/>
      <c r="F17" s="867"/>
      <c r="G17" s="867"/>
      <c r="H17" s="867"/>
      <c r="I17" s="867"/>
    </row>
    <row r="18" spans="1:9" ht="15">
      <c r="A18" s="1064" t="s">
        <v>1143</v>
      </c>
      <c r="B18" s="1088">
        <f>+((1-B17/4)^(-4))-1</f>
        <v>0.14199829636195394</v>
      </c>
      <c r="C18" s="1089" t="s">
        <v>1144</v>
      </c>
      <c r="D18" s="867"/>
      <c r="E18" s="867"/>
      <c r="F18" s="867"/>
      <c r="G18" s="867"/>
      <c r="H18" s="867"/>
      <c r="I18" s="867"/>
    </row>
    <row r="19" spans="1:9" ht="15">
      <c r="A19" s="1064" t="s">
        <v>1152</v>
      </c>
      <c r="B19" s="272">
        <v>3</v>
      </c>
      <c r="C19" s="272"/>
      <c r="D19" s="867"/>
      <c r="E19" s="867"/>
      <c r="F19" s="867"/>
      <c r="G19" s="867"/>
      <c r="H19" s="867"/>
      <c r="I19" s="867"/>
    </row>
    <row r="20" spans="1:9" s="867" customFormat="1" ht="15">
      <c r="A20" s="1068"/>
    </row>
    <row r="21" spans="1:9" s="867" customFormat="1" ht="15">
      <c r="A21" s="1068"/>
    </row>
    <row r="22" spans="1:9" s="867" customFormat="1" ht="15.75" thickBot="1">
      <c r="A22" s="1068"/>
    </row>
    <row r="23" spans="1:9" ht="15.75" thickBot="1">
      <c r="A23" s="1072" t="s">
        <v>1153</v>
      </c>
      <c r="B23" s="1073">
        <v>0</v>
      </c>
      <c r="C23" s="1073">
        <v>1</v>
      </c>
      <c r="D23" s="1073">
        <v>2</v>
      </c>
      <c r="E23" s="1073">
        <v>3</v>
      </c>
      <c r="F23" s="1073">
        <v>4</v>
      </c>
      <c r="G23" s="1073">
        <v>5</v>
      </c>
      <c r="H23" s="1073">
        <v>6</v>
      </c>
      <c r="I23" s="1074">
        <v>7</v>
      </c>
    </row>
    <row r="24" spans="1:9" ht="15">
      <c r="A24" s="1069" t="s">
        <v>1154</v>
      </c>
      <c r="B24" s="1075">
        <f>+B13</f>
        <v>0</v>
      </c>
      <c r="C24" s="1075">
        <f>+B24-B25</f>
        <v>0</v>
      </c>
      <c r="D24" s="1075">
        <f t="shared" ref="D24:I24" si="0">+C24-C25</f>
        <v>0</v>
      </c>
      <c r="E24" s="1075">
        <f t="shared" si="0"/>
        <v>0</v>
      </c>
      <c r="F24" s="1075">
        <f t="shared" si="0"/>
        <v>0</v>
      </c>
      <c r="G24" s="1075">
        <f t="shared" si="0"/>
        <v>0</v>
      </c>
      <c r="H24" s="1075">
        <f t="shared" si="0"/>
        <v>0</v>
      </c>
      <c r="I24" s="1075">
        <f t="shared" si="0"/>
        <v>0</v>
      </c>
    </row>
    <row r="25" spans="1:9" ht="15">
      <c r="A25" s="1064" t="s">
        <v>1155</v>
      </c>
      <c r="B25" s="274">
        <f>+IF($B$19&gt;=C23,$B$13/$B$19,0)</f>
        <v>0</v>
      </c>
      <c r="C25" s="274">
        <f t="shared" ref="C25:I25" si="1">+IF($B$19&gt;=D23,$B$13/$B$19,0)</f>
        <v>0</v>
      </c>
      <c r="D25" s="274">
        <f t="shared" si="1"/>
        <v>0</v>
      </c>
      <c r="E25" s="274">
        <f t="shared" si="1"/>
        <v>0</v>
      </c>
      <c r="F25" s="274">
        <f t="shared" si="1"/>
        <v>0</v>
      </c>
      <c r="G25" s="274">
        <f t="shared" si="1"/>
        <v>0</v>
      </c>
      <c r="H25" s="274">
        <f t="shared" si="1"/>
        <v>0</v>
      </c>
      <c r="I25" s="274">
        <f t="shared" si="1"/>
        <v>0</v>
      </c>
    </row>
    <row r="26" spans="1:9" ht="15">
      <c r="A26" s="1064" t="s">
        <v>1156</v>
      </c>
      <c r="B26" s="274">
        <f>+B24*$B$18</f>
        <v>0</v>
      </c>
      <c r="C26" s="274">
        <f t="shared" ref="C26:I26" si="2">+C24*$B$18</f>
        <v>0</v>
      </c>
      <c r="D26" s="274">
        <f t="shared" si="2"/>
        <v>0</v>
      </c>
      <c r="E26" s="274">
        <f t="shared" si="2"/>
        <v>0</v>
      </c>
      <c r="F26" s="274">
        <f t="shared" si="2"/>
        <v>0</v>
      </c>
      <c r="G26" s="274">
        <f t="shared" si="2"/>
        <v>0</v>
      </c>
      <c r="H26" s="274">
        <f t="shared" si="2"/>
        <v>0</v>
      </c>
      <c r="I26" s="274">
        <f t="shared" si="2"/>
        <v>0</v>
      </c>
    </row>
    <row r="27" spans="1:9" ht="15">
      <c r="A27" s="1064" t="s">
        <v>1157</v>
      </c>
      <c r="B27" s="272"/>
      <c r="C27" s="1076">
        <f>+B26*(1-'[3]Proyección Flujos de Caja'!$B$22)</f>
        <v>0</v>
      </c>
      <c r="D27" s="1076">
        <f>+C26*(1-'[3]Proyección Flujos de Caja'!$B$22)</f>
        <v>0</v>
      </c>
      <c r="E27" s="1076">
        <f>+D26*(1-'[3]Proyección Flujos de Caja'!$B$22)</f>
        <v>0</v>
      </c>
      <c r="F27" s="1076">
        <f>+E26*(1-'[3]Proyección Flujos de Caja'!$B$22)</f>
        <v>0</v>
      </c>
      <c r="G27" s="1076">
        <f>+F26*(1-'[3]Proyección Flujos de Caja'!$B$22)</f>
        <v>0</v>
      </c>
      <c r="H27" s="1076">
        <f>+G26*(1-'[3]Proyección Flujos de Caja'!$B$22)</f>
        <v>0</v>
      </c>
      <c r="I27" s="1076">
        <f>+H26*(1-'[3]Proyección Flujos de Caja'!$B$22)</f>
        <v>0</v>
      </c>
    </row>
    <row r="28" spans="1:9" ht="15">
      <c r="A28" s="1064" t="s">
        <v>1158</v>
      </c>
      <c r="B28" s="1077">
        <f>-B13</f>
        <v>0</v>
      </c>
      <c r="C28" s="1078">
        <f>+C25+C27</f>
        <v>0</v>
      </c>
      <c r="D28" s="1078">
        <f t="shared" ref="D28:I28" si="3">+D25+D27</f>
        <v>0</v>
      </c>
      <c r="E28" s="1078">
        <f t="shared" si="3"/>
        <v>0</v>
      </c>
      <c r="F28" s="1078">
        <f t="shared" si="3"/>
        <v>0</v>
      </c>
      <c r="G28" s="1078">
        <f t="shared" si="3"/>
        <v>0</v>
      </c>
      <c r="H28" s="1078">
        <f t="shared" si="3"/>
        <v>0</v>
      </c>
      <c r="I28" s="1078">
        <f t="shared" si="3"/>
        <v>0</v>
      </c>
    </row>
    <row r="29" spans="1:9" ht="15">
      <c r="A29" s="1079" t="s">
        <v>1159</v>
      </c>
      <c r="B29" s="1080">
        <f>+IFERROR(IRR(B28:I28),0)</f>
        <v>0</v>
      </c>
      <c r="C29" s="1081" t="s">
        <v>1144</v>
      </c>
      <c r="D29" s="908"/>
      <c r="E29" s="908"/>
      <c r="F29" s="908"/>
      <c r="G29" s="908"/>
      <c r="H29" s="908"/>
      <c r="I29" s="908"/>
    </row>
    <row r="30" spans="1:9" s="867" customFormat="1" ht="15"/>
    <row r="31" spans="1:9" s="867" customFormat="1" ht="15"/>
    <row r="32" spans="1:9" ht="15">
      <c r="B32" s="1082" t="s">
        <v>1160</v>
      </c>
      <c r="C32" s="1082" t="s">
        <v>1161</v>
      </c>
      <c r="D32" s="1082" t="s">
        <v>1162</v>
      </c>
      <c r="E32" s="867"/>
      <c r="F32" s="867"/>
      <c r="G32" s="867"/>
      <c r="H32" s="867"/>
      <c r="I32" s="867"/>
    </row>
    <row r="33" spans="1:9" ht="15">
      <c r="A33" s="1083" t="s">
        <v>1163</v>
      </c>
      <c r="B33" s="274">
        <f>+B5</f>
        <v>3100.7890000000002</v>
      </c>
      <c r="C33" s="278">
        <f>+B9</f>
        <v>0.12918242004621705</v>
      </c>
      <c r="D33" s="1076">
        <f>+B33*C33</f>
        <v>400.56742707268933</v>
      </c>
      <c r="E33" s="867"/>
      <c r="F33" s="867"/>
      <c r="G33" s="867"/>
      <c r="H33" s="867"/>
      <c r="I33" s="867"/>
    </row>
    <row r="34" spans="1:9" ht="15">
      <c r="A34" s="1083" t="s">
        <v>1164</v>
      </c>
      <c r="B34" s="274">
        <f>+B13</f>
        <v>0</v>
      </c>
      <c r="C34" s="276">
        <f>+B29</f>
        <v>0</v>
      </c>
      <c r="D34" s="1076">
        <f>+B34*C34</f>
        <v>0</v>
      </c>
      <c r="E34" s="867"/>
      <c r="F34" s="867"/>
      <c r="G34" s="867"/>
      <c r="H34" s="867"/>
      <c r="I34" s="867"/>
    </row>
    <row r="35" spans="1:9" ht="15">
      <c r="A35" s="1083" t="s">
        <v>1165</v>
      </c>
      <c r="B35" s="274">
        <f>+B33+B34</f>
        <v>3100.7890000000002</v>
      </c>
      <c r="C35" s="272"/>
      <c r="D35" s="274">
        <f>+D33+D34</f>
        <v>400.56742707268933</v>
      </c>
      <c r="E35" s="867"/>
      <c r="F35" s="867"/>
      <c r="G35" s="867"/>
      <c r="H35" s="867"/>
      <c r="I35" s="867"/>
    </row>
    <row r="36" spans="1:9" s="867" customFormat="1" ht="15">
      <c r="A36" s="904"/>
      <c r="B36" s="1084"/>
      <c r="C36" s="1085"/>
    </row>
    <row r="37" spans="1:9" s="867" customFormat="1" ht="15">
      <c r="A37" s="904"/>
    </row>
    <row r="38" spans="1:9" ht="15">
      <c r="A38" s="1086" t="s">
        <v>1166</v>
      </c>
      <c r="B38" s="1087">
        <f>+D35/B35</f>
        <v>0.12918242004621705</v>
      </c>
      <c r="C38" s="867"/>
      <c r="D38" s="867"/>
      <c r="E38" s="867"/>
      <c r="F38" s="867"/>
      <c r="G38" s="867"/>
      <c r="H38" s="867"/>
      <c r="I38" s="867"/>
    </row>
    <row r="39" spans="1:9" s="867" customFormat="1" ht="15"/>
    <row r="40" spans="1:9" s="867" customFormat="1" ht="15"/>
  </sheetData>
  <mergeCells count="3">
    <mergeCell ref="A2:J2"/>
    <mergeCell ref="A4:B4"/>
    <mergeCell ref="A12:C12"/>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94977" r:id="rId4" name="Spinner 1">
              <controlPr defaultSize="0" autoPict="0">
                <anchor moveWithCells="1" sizeWithCells="1">
                  <from>
                    <xdr:col>2</xdr:col>
                    <xdr:colOff>0</xdr:colOff>
                    <xdr:row>24</xdr:row>
                    <xdr:rowOff>19050</xdr:rowOff>
                  </from>
                  <to>
                    <xdr:col>2</xdr:col>
                    <xdr:colOff>0</xdr:colOff>
                    <xdr:row>25</xdr:row>
                    <xdr:rowOff>0</xdr:rowOff>
                  </to>
                </anchor>
              </controlPr>
            </control>
          </mc:Choice>
        </mc:AlternateContent>
        <mc:AlternateContent xmlns:mc="http://schemas.openxmlformats.org/markup-compatibility/2006">
          <mc:Choice Requires="x14">
            <control shapeId="894978" r:id="rId5" name="Spinner 2">
              <controlPr defaultSize="0" autoPict="0">
                <anchor moveWithCells="1" sizeWithCells="1">
                  <from>
                    <xdr:col>0</xdr:col>
                    <xdr:colOff>2009775</xdr:colOff>
                    <xdr:row>17</xdr:row>
                    <xdr:rowOff>180975</xdr:rowOff>
                  </from>
                  <to>
                    <xdr:col>0</xdr:col>
                    <xdr:colOff>2152650</xdr:colOff>
                    <xdr:row>19</xdr:row>
                    <xdr:rowOff>9525</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42"/>
  <sheetViews>
    <sheetView showGridLines="0" topLeftCell="A22" workbookViewId="0">
      <selection activeCell="C25" sqref="C25"/>
    </sheetView>
  </sheetViews>
  <sheetFormatPr baseColWidth="10" defaultColWidth="11.5703125" defaultRowHeight="15"/>
  <cols>
    <col min="1" max="1" width="11.5703125" style="488"/>
    <col min="2" max="2" width="31.85546875" style="488" bestFit="1" customWidth="1"/>
    <col min="3" max="3" width="10.140625" style="488" bestFit="1" customWidth="1"/>
    <col min="4" max="12" width="11.5703125" style="488"/>
    <col min="13" max="13" width="31.85546875" style="488" customWidth="1"/>
    <col min="14" max="16384" width="11.5703125" style="488"/>
  </cols>
  <sheetData>
    <row r="1" spans="1:11" ht="15.75" thickBot="1"/>
    <row r="2" spans="1:11" ht="15.75" thickTop="1">
      <c r="A2" s="1090"/>
      <c r="B2" s="1091"/>
      <c r="C2" s="1091"/>
      <c r="D2" s="1091"/>
      <c r="E2" s="1091"/>
      <c r="F2" s="1091"/>
      <c r="G2" s="1091"/>
      <c r="H2" s="1091"/>
      <c r="I2" s="1091"/>
      <c r="J2" s="1091"/>
      <c r="K2" s="1092"/>
    </row>
    <row r="3" spans="1:11">
      <c r="A3" s="1093"/>
      <c r="B3" s="1094"/>
      <c r="C3" s="1094"/>
      <c r="D3" s="1094"/>
      <c r="E3" s="1094"/>
      <c r="F3" s="1094"/>
      <c r="G3" s="1094"/>
      <c r="H3" s="1094"/>
      <c r="I3" s="1094" t="s">
        <v>1167</v>
      </c>
      <c r="J3" s="1094"/>
      <c r="K3" s="1095"/>
    </row>
    <row r="4" spans="1:11">
      <c r="A4" s="1093"/>
      <c r="B4" s="1094"/>
      <c r="C4" s="1094"/>
      <c r="D4" s="1094"/>
      <c r="E4" s="1094"/>
      <c r="F4" s="1094"/>
      <c r="G4" s="1094"/>
      <c r="H4" s="1094"/>
      <c r="I4" s="1094"/>
      <c r="J4" s="1094"/>
      <c r="K4" s="1095"/>
    </row>
    <row r="5" spans="1:11">
      <c r="A5" s="1093"/>
      <c r="B5" s="1094"/>
      <c r="C5" s="1094"/>
      <c r="D5" s="1094"/>
      <c r="E5" s="1094"/>
      <c r="F5" s="1094"/>
      <c r="G5" s="1094"/>
      <c r="H5" s="1094"/>
      <c r="I5" s="1094"/>
      <c r="J5" s="1094"/>
      <c r="K5" s="1095"/>
    </row>
    <row r="6" spans="1:11">
      <c r="A6" s="1093" t="s">
        <v>663</v>
      </c>
      <c r="B6" s="1094"/>
      <c r="C6" s="1094"/>
      <c r="D6" s="1094"/>
      <c r="E6" s="1094"/>
      <c r="F6" s="1094"/>
      <c r="G6" s="1094"/>
      <c r="H6" s="1094"/>
      <c r="I6" s="1094"/>
      <c r="J6" s="1094"/>
      <c r="K6" s="1095"/>
    </row>
    <row r="7" spans="1:11">
      <c r="A7" s="1093"/>
      <c r="B7" s="1094"/>
      <c r="C7" s="1094"/>
      <c r="D7" s="1094"/>
      <c r="E7" s="1094"/>
      <c r="F7" s="1094"/>
      <c r="G7" s="1094"/>
      <c r="H7" s="1094"/>
      <c r="I7" s="1094"/>
      <c r="J7" s="1094"/>
      <c r="K7" s="1095"/>
    </row>
    <row r="8" spans="1:11">
      <c r="A8" s="1093"/>
      <c r="B8" s="1094"/>
      <c r="C8" s="1094"/>
      <c r="D8" s="1094"/>
      <c r="E8" s="1094"/>
      <c r="F8" s="1094"/>
      <c r="G8" s="1094"/>
      <c r="H8" s="1094"/>
      <c r="I8" s="1094"/>
      <c r="J8" s="1094"/>
      <c r="K8" s="1095"/>
    </row>
    <row r="9" spans="1:11">
      <c r="A9" s="1093"/>
      <c r="B9" s="1094"/>
      <c r="C9" s="1094"/>
      <c r="D9" s="1094"/>
      <c r="E9" s="1094"/>
      <c r="F9" s="1094"/>
      <c r="G9" s="1094"/>
      <c r="H9" s="1094"/>
      <c r="I9" s="1094"/>
      <c r="J9" s="1094"/>
      <c r="K9" s="1095"/>
    </row>
    <row r="10" spans="1:11">
      <c r="A10" s="1093"/>
      <c r="B10" s="1094"/>
      <c r="C10" s="1094"/>
      <c r="D10" s="1094"/>
      <c r="E10" s="1094"/>
      <c r="F10" s="1094"/>
      <c r="G10" s="1094"/>
      <c r="H10" s="1094"/>
      <c r="I10" s="1094"/>
      <c r="J10" s="1094"/>
      <c r="K10" s="1095"/>
    </row>
    <row r="11" spans="1:11">
      <c r="A11" s="1093"/>
      <c r="B11" s="1094"/>
      <c r="C11" s="1094"/>
      <c r="D11" s="1094"/>
      <c r="E11" s="1094"/>
      <c r="F11" s="1094"/>
      <c r="G11" s="1094"/>
      <c r="H11" s="1094"/>
      <c r="I11" s="1094"/>
      <c r="J11" s="1094"/>
      <c r="K11" s="1095"/>
    </row>
    <row r="12" spans="1:11">
      <c r="A12" s="1093"/>
      <c r="B12" s="1094"/>
      <c r="C12" s="1094"/>
      <c r="D12" s="1094"/>
      <c r="E12" s="1096"/>
      <c r="F12" s="1094"/>
      <c r="G12" s="1094"/>
      <c r="H12" s="1096"/>
      <c r="I12" s="1094"/>
      <c r="J12" s="1094"/>
      <c r="K12" s="1095"/>
    </row>
    <row r="13" spans="1:11">
      <c r="A13" s="1093"/>
      <c r="B13" s="1094"/>
      <c r="C13" s="1094"/>
      <c r="D13" s="1094"/>
      <c r="E13" s="1094"/>
      <c r="F13" s="1094"/>
      <c r="G13" s="1094"/>
      <c r="H13" s="1094"/>
      <c r="I13" s="1094"/>
      <c r="J13" s="1094"/>
      <c r="K13" s="1095"/>
    </row>
    <row r="14" spans="1:11" ht="15.75" thickBot="1">
      <c r="A14" s="1097"/>
      <c r="B14" s="1098"/>
      <c r="C14" s="1098"/>
      <c r="D14" s="1098"/>
      <c r="E14" s="1098"/>
      <c r="F14" s="1098"/>
      <c r="G14" s="1098"/>
      <c r="H14" s="1098"/>
      <c r="I14" s="1098"/>
      <c r="J14" s="1098"/>
      <c r="K14" s="1099"/>
    </row>
    <row r="15" spans="1:11" ht="15.75" thickTop="1">
      <c r="B15" s="64"/>
    </row>
    <row r="16" spans="1:11" ht="21">
      <c r="B16" s="1100" t="s">
        <v>1168</v>
      </c>
      <c r="C16" s="64"/>
    </row>
    <row r="17" spans="2:5" ht="15.75" thickBot="1">
      <c r="C17" s="527"/>
    </row>
    <row r="18" spans="2:5" ht="16.5" thickTop="1">
      <c r="B18" s="1101" t="s">
        <v>1169</v>
      </c>
      <c r="C18" s="523">
        <v>1.44E-2</v>
      </c>
      <c r="E18" s="1102" t="s">
        <v>1170</v>
      </c>
    </row>
    <row r="19" spans="2:5" ht="15.75">
      <c r="B19" s="1103" t="s">
        <v>1171</v>
      </c>
      <c r="C19" s="528">
        <v>7.2599999999999998E-2</v>
      </c>
      <c r="E19" s="1102" t="s">
        <v>1172</v>
      </c>
    </row>
    <row r="20" spans="2:5" ht="15.75">
      <c r="B20" s="1103" t="s">
        <v>1171</v>
      </c>
      <c r="C20" s="524">
        <f>+C19-C18</f>
        <v>5.8200000000000002E-2</v>
      </c>
      <c r="E20" s="1102" t="s">
        <v>1173</v>
      </c>
    </row>
    <row r="21" spans="2:5" ht="16.5" thickBot="1">
      <c r="B21" s="1103" t="s">
        <v>664</v>
      </c>
      <c r="C21" s="525">
        <f>+C42</f>
        <v>1.1066774816617291</v>
      </c>
      <c r="D21" s="527" t="s">
        <v>710</v>
      </c>
      <c r="E21" s="1102" t="s">
        <v>1174</v>
      </c>
    </row>
    <row r="22" spans="2:5" ht="17.25" thickTop="1" thickBot="1">
      <c r="B22" s="1104" t="s">
        <v>704</v>
      </c>
      <c r="C22" s="526">
        <f>+(C18+(C20*C21))</f>
        <v>7.8808629432712635E-2</v>
      </c>
    </row>
    <row r="23" spans="2:5" ht="16.5" thickTop="1">
      <c r="B23" s="1105" t="s">
        <v>665</v>
      </c>
      <c r="C23" s="528">
        <v>2.5899999999999999E-2</v>
      </c>
    </row>
    <row r="24" spans="2:5" ht="15.75">
      <c r="B24" s="1103" t="s">
        <v>1443</v>
      </c>
      <c r="C24" s="524">
        <f>+COLCAP!I39</f>
        <v>0.17166841912402617</v>
      </c>
    </row>
    <row r="25" spans="2:5" ht="15.75">
      <c r="B25" s="1103" t="s">
        <v>666</v>
      </c>
      <c r="C25" s="524">
        <f>+'EMBI+'!I42</f>
        <v>0.55825639991024589</v>
      </c>
    </row>
    <row r="26" spans="2:5" ht="16.5" thickBot="1">
      <c r="B26" s="1106" t="s">
        <v>1444</v>
      </c>
      <c r="C26" s="529">
        <f>+C24/C25</f>
        <v>0.30750819722196876</v>
      </c>
      <c r="D26" s="527" t="s">
        <v>710</v>
      </c>
    </row>
    <row r="27" spans="2:5" ht="17.25" thickTop="1" thickBot="1">
      <c r="B27" s="1104" t="s">
        <v>667</v>
      </c>
      <c r="C27" s="526">
        <f>+C23*C26</f>
        <v>7.9644623080489911E-3</v>
      </c>
    </row>
    <row r="28" spans="2:5" ht="16.5" thickTop="1">
      <c r="B28" s="1105" t="s">
        <v>668</v>
      </c>
      <c r="C28" s="528">
        <v>6.7699999999999996E-2</v>
      </c>
    </row>
    <row r="29" spans="2:5" ht="15.75">
      <c r="B29" s="1103" t="s">
        <v>669</v>
      </c>
      <c r="C29" s="528">
        <v>8.5000000000000006E-3</v>
      </c>
    </row>
    <row r="30" spans="2:5" ht="16.5" thickBot="1">
      <c r="B30" s="1107" t="s">
        <v>670</v>
      </c>
      <c r="C30" s="530">
        <f>(1+C28)/(1+C29)-1</f>
        <v>5.8701041150223343E-2</v>
      </c>
      <c r="D30" s="64"/>
    </row>
    <row r="31" spans="2:5" ht="17.25" thickTop="1" thickBot="1">
      <c r="B31" s="1104" t="s">
        <v>1181</v>
      </c>
      <c r="C31" s="1470">
        <f>((1+(C22+C27))*(1+C30))-1</f>
        <v>0.15056780371999157</v>
      </c>
    </row>
    <row r="32" spans="2:5" ht="15.75" thickTop="1"/>
    <row r="33" spans="2:8">
      <c r="E33" s="488">
        <v>46</v>
      </c>
    </row>
    <row r="34" spans="2:8">
      <c r="B34" s="488" t="s">
        <v>1175</v>
      </c>
      <c r="C34" s="488">
        <f>+VLOOKUP(E33,[3]Betas!$A$2:$I$96,9)</f>
        <v>1.1066774816617291</v>
      </c>
    </row>
    <row r="35" spans="2:8" ht="28.5">
      <c r="D35" s="1108"/>
      <c r="E35" s="1108"/>
      <c r="F35" s="64"/>
      <c r="G35" s="64"/>
      <c r="H35" s="64"/>
    </row>
    <row r="36" spans="2:8" ht="28.5">
      <c r="B36" s="1108" t="s">
        <v>1176</v>
      </c>
      <c r="C36" s="1108" t="s">
        <v>1177</v>
      </c>
      <c r="D36" s="1108"/>
      <c r="E36" s="1108"/>
      <c r="F36" s="64"/>
      <c r="G36" s="64"/>
      <c r="H36" s="64"/>
    </row>
    <row r="37" spans="2:8" ht="28.5">
      <c r="B37" s="1108"/>
      <c r="C37" s="1108"/>
    </row>
    <row r="38" spans="2:8">
      <c r="B38" s="488" t="s">
        <v>1178</v>
      </c>
      <c r="C38" s="1062">
        <f>+FER!J42+FER!J51</f>
        <v>0</v>
      </c>
    </row>
    <row r="39" spans="2:8">
      <c r="B39" s="488" t="s">
        <v>1179</v>
      </c>
      <c r="C39" s="1062">
        <f>+FER!J66</f>
        <v>31233.253000000001</v>
      </c>
    </row>
    <row r="40" spans="2:8">
      <c r="B40" s="488" t="s">
        <v>1180</v>
      </c>
      <c r="C40" s="1109">
        <v>0.34</v>
      </c>
    </row>
    <row r="42" spans="2:8">
      <c r="B42" s="488" t="s">
        <v>1176</v>
      </c>
      <c r="C42" s="488">
        <f>+(1+((1-C40)*C38/C39))*C34</f>
        <v>1.1066774816617291</v>
      </c>
    </row>
  </sheetData>
  <hyperlinks>
    <hyperlink ref="E18" r:id="rId1"/>
    <hyperlink ref="E19" r:id="rId2"/>
    <hyperlink ref="E20" r:id="rId3"/>
  </hyperlinks>
  <pageMargins left="0.7" right="0.7" top="0.75" bottom="0.75" header="0.3" footer="0.3"/>
  <pageSetup orientation="portrait" horizontalDpi="360" verticalDpi="360" r:id="rId4"/>
  <drawing r:id="rId5"/>
  <legacyDrawing r:id="rId6"/>
  <mc:AlternateContent xmlns:mc="http://schemas.openxmlformats.org/markup-compatibility/2006">
    <mc:Choice Requires="x14">
      <controls>
        <mc:AlternateContent xmlns:mc="http://schemas.openxmlformats.org/markup-compatibility/2006">
          <mc:Choice Requires="x14">
            <control shapeId="896001" r:id="rId7" name="Drop Down 1">
              <controlPr defaultSize="0" autoLine="0" autoPict="0">
                <anchor moveWithCells="1">
                  <from>
                    <xdr:col>1</xdr:col>
                    <xdr:colOff>1409700</xdr:colOff>
                    <xdr:row>32</xdr:row>
                    <xdr:rowOff>85725</xdr:rowOff>
                  </from>
                  <to>
                    <xdr:col>2</xdr:col>
                    <xdr:colOff>123825</xdr:colOff>
                    <xdr:row>34</xdr:row>
                    <xdr:rowOff>28575</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9"/>
  <sheetViews>
    <sheetView showGridLines="0" zoomScale="70" zoomScaleNormal="70" workbookViewId="0">
      <selection activeCell="I14" sqref="I14"/>
    </sheetView>
  </sheetViews>
  <sheetFormatPr baseColWidth="10" defaultColWidth="11.42578125" defaultRowHeight="12.75" customHeight="1"/>
  <cols>
    <col min="1" max="1" width="40.140625" style="488" bestFit="1" customWidth="1"/>
    <col min="2" max="2" width="23.28515625" style="488" customWidth="1"/>
    <col min="3" max="3" width="19.140625" style="488" customWidth="1"/>
    <col min="4" max="4" width="24.85546875" style="488" customWidth="1"/>
    <col min="5" max="5" width="14.85546875" style="488" bestFit="1" customWidth="1"/>
    <col min="6" max="6" width="8.85546875" style="488" bestFit="1" customWidth="1"/>
    <col min="7" max="7" width="14.42578125" style="488" bestFit="1" customWidth="1"/>
    <col min="8" max="8" width="7.42578125" style="488" bestFit="1" customWidth="1"/>
    <col min="9" max="9" width="15.85546875" style="488" bestFit="1" customWidth="1"/>
    <col min="10" max="10" width="15.7109375" style="488" bestFit="1" customWidth="1"/>
    <col min="11" max="16384" width="11.42578125" style="488"/>
  </cols>
  <sheetData>
    <row r="1" spans="1:7" ht="15">
      <c r="A1" s="489"/>
      <c r="B1" s="1110"/>
      <c r="C1" s="489"/>
      <c r="D1" s="489"/>
      <c r="E1" s="489"/>
      <c r="F1" s="489"/>
      <c r="G1" s="489"/>
    </row>
    <row r="2" spans="1:7" ht="61.5">
      <c r="A2" s="1111" t="s">
        <v>431</v>
      </c>
    </row>
    <row r="3" spans="1:7" s="489" customFormat="1" ht="21.75" customHeight="1" thickBot="1">
      <c r="A3" s="1639" t="s">
        <v>1182</v>
      </c>
      <c r="B3" s="1640"/>
      <c r="C3" s="1640"/>
    </row>
    <row r="4" spans="1:7" s="489" customFormat="1" ht="15">
      <c r="A4" s="1112" t="s">
        <v>1183</v>
      </c>
      <c r="B4" s="1113">
        <f>+'Cost deu. y Prove.'!B38</f>
        <v>0.12918242004621705</v>
      </c>
    </row>
    <row r="5" spans="1:7" s="489" customFormat="1" ht="15.75" thickBot="1">
      <c r="A5" s="1333" t="s">
        <v>1383</v>
      </c>
      <c r="B5" s="1334">
        <v>0.34</v>
      </c>
    </row>
    <row r="6" spans="1:7" s="489" customFormat="1" ht="15">
      <c r="A6" s="1333" t="s">
        <v>1384</v>
      </c>
      <c r="B6" s="1335">
        <f>+(B10/SUM(B9:B10))*B4*(1-B5)</f>
        <v>5.7860110783776571E-2</v>
      </c>
      <c r="E6" s="396" t="s">
        <v>1385</v>
      </c>
      <c r="F6" s="1336">
        <v>0.03</v>
      </c>
    </row>
    <row r="7" spans="1:7" s="489" customFormat="1" ht="15">
      <c r="A7" s="1114" t="s">
        <v>1184</v>
      </c>
      <c r="B7" s="1115">
        <f>+'Costo patrimon.'!C31</f>
        <v>0.15056780371999157</v>
      </c>
      <c r="E7" s="411" t="s">
        <v>1386</v>
      </c>
      <c r="F7" s="1337">
        <f ca="1">+((DFC!P10*(1+F6)/(F8-F6)))</f>
        <v>221496.67492143917</v>
      </c>
    </row>
    <row r="8" spans="1:7" s="489" customFormat="1" ht="15">
      <c r="A8" s="1116" t="s">
        <v>1185</v>
      </c>
      <c r="B8" s="1117">
        <f>+FER!J41</f>
        <v>97187.28899999999</v>
      </c>
      <c r="E8" s="411" t="s">
        <v>431</v>
      </c>
      <c r="F8" s="1338">
        <f>+WACC!B11</f>
        <v>7.4303476813464595E-2</v>
      </c>
    </row>
    <row r="9" spans="1:7" s="489" customFormat="1" ht="15">
      <c r="A9" s="1116" t="s">
        <v>1186</v>
      </c>
      <c r="B9" s="1117">
        <f>+FER!J66</f>
        <v>31233.253000000001</v>
      </c>
      <c r="E9" s="411" t="s">
        <v>1387</v>
      </c>
      <c r="F9" s="1277">
        <f>+WACC!B6</f>
        <v>5.7860110783776571E-2</v>
      </c>
    </row>
    <row r="10" spans="1:7" s="489" customFormat="1" ht="15.75" thickBot="1">
      <c r="A10" s="1118" t="s">
        <v>1187</v>
      </c>
      <c r="B10" s="1119">
        <f>+FER!J58</f>
        <v>65954.035999999993</v>
      </c>
      <c r="E10" s="411" t="s">
        <v>1388</v>
      </c>
      <c r="F10" s="1277">
        <f>+B7</f>
        <v>0.15056780371999157</v>
      </c>
    </row>
    <row r="11" spans="1:7" s="489" customFormat="1" ht="18.75" thickBot="1">
      <c r="A11" s="1120" t="s">
        <v>1445</v>
      </c>
      <c r="B11" s="1471">
        <f>+((B6*(B10/B8))*(1-B5))+B7*(B9/B8)</f>
        <v>7.4303476813464595E-2</v>
      </c>
      <c r="C11" s="489" t="s">
        <v>1144</v>
      </c>
      <c r="E11" s="411" t="s">
        <v>1389</v>
      </c>
      <c r="F11" s="1337">
        <v>10000</v>
      </c>
    </row>
    <row r="12" spans="1:7" s="489" customFormat="1" ht="15.75" thickBot="1">
      <c r="E12" s="422" t="s">
        <v>1390</v>
      </c>
      <c r="F12" s="1339">
        <f ca="1">+DFC!J16/F11</f>
        <v>18.106487686232011</v>
      </c>
    </row>
    <row r="13" spans="1:7" s="489" customFormat="1" ht="14.25"/>
    <row r="15" spans="1:7" ht="12.75" customHeight="1">
      <c r="A15" s="488" t="s">
        <v>1188</v>
      </c>
      <c r="B15" s="1062">
        <f>+(FER!J14-FER!J19)-FER!J41*WACC!B11</f>
        <v>-3657.0534747749825</v>
      </c>
    </row>
    <row r="17" spans="5:10" ht="12.75" customHeight="1" thickBot="1"/>
    <row r="18" spans="5:10" ht="12.75" customHeight="1" thickBot="1">
      <c r="E18" s="1366" t="s">
        <v>1387</v>
      </c>
      <c r="F18" s="1367" t="s">
        <v>1383</v>
      </c>
      <c r="G18" s="1367" t="s">
        <v>1398</v>
      </c>
      <c r="H18" s="1367" t="s">
        <v>661</v>
      </c>
      <c r="I18" s="1367" t="s">
        <v>1399</v>
      </c>
      <c r="J18" s="1368" t="s">
        <v>1400</v>
      </c>
    </row>
    <row r="19" spans="5:10" ht="12.75" customHeight="1">
      <c r="E19" s="1369">
        <f>+B6</f>
        <v>5.7860110783776571E-2</v>
      </c>
      <c r="F19" s="1370">
        <f>+B5</f>
        <v>0.34</v>
      </c>
      <c r="G19" s="1370">
        <f>+B7</f>
        <v>0.15056780371999157</v>
      </c>
      <c r="H19" s="1370">
        <f>+'Costo patrimon.'!C18</f>
        <v>1.44E-2</v>
      </c>
      <c r="I19" s="1377">
        <f ca="1">+F12</f>
        <v>18.106487686232011</v>
      </c>
      <c r="J19" s="415"/>
    </row>
    <row r="20" spans="5:10" ht="12.75" customHeight="1">
      <c r="E20" s="1369">
        <f>+E19-0.5%</f>
        <v>5.2860110783776573E-2</v>
      </c>
      <c r="F20" s="538">
        <f t="dataTable" ref="F20:I26" dt2D="0" dtr="0" r1="B6" ca="1"/>
        <v>0.34</v>
      </c>
      <c r="G20" s="538">
        <v>0.15056780371999157</v>
      </c>
      <c r="H20" s="538">
        <v>1.44E-2</v>
      </c>
      <c r="I20" s="1377">
        <v>19.092096579084142</v>
      </c>
      <c r="J20" s="1371">
        <f t="shared" ref="J20:J26" ca="1" si="0">+(I20-I19)/I19</f>
        <v>5.4434018895977154E-2</v>
      </c>
    </row>
    <row r="21" spans="5:10" ht="12.75" customHeight="1">
      <c r="E21" s="1369">
        <f t="shared" ref="E21:E26" si="1">+E20-0.5%</f>
        <v>4.7860110783776576E-2</v>
      </c>
      <c r="F21" s="538">
        <v>0.34</v>
      </c>
      <c r="G21" s="538">
        <v>0.15056780371999157</v>
      </c>
      <c r="H21" s="538">
        <v>1.44E-2</v>
      </c>
      <c r="I21" s="1377">
        <v>21.416331129348038</v>
      </c>
      <c r="J21" s="1371">
        <f t="shared" si="0"/>
        <v>0.12173804697856762</v>
      </c>
    </row>
    <row r="22" spans="5:10" ht="12.75" customHeight="1">
      <c r="E22" s="1369">
        <f t="shared" si="1"/>
        <v>4.2860110783776578E-2</v>
      </c>
      <c r="F22" s="538">
        <v>0.34</v>
      </c>
      <c r="G22" s="538">
        <v>0.15056780371999157</v>
      </c>
      <c r="H22" s="538">
        <v>1.44E-2</v>
      </c>
      <c r="I22" s="1377">
        <v>26.169467026227931</v>
      </c>
      <c r="J22" s="1371">
        <f t="shared" si="0"/>
        <v>0.22193978362458153</v>
      </c>
    </row>
    <row r="23" spans="5:10" ht="12.75" customHeight="1">
      <c r="E23" s="1369">
        <f t="shared" si="1"/>
        <v>3.7860110783776581E-2</v>
      </c>
      <c r="F23" s="538">
        <v>0.34</v>
      </c>
      <c r="G23" s="538">
        <v>0.15056780371999157</v>
      </c>
      <c r="H23" s="538">
        <v>1.44E-2</v>
      </c>
      <c r="I23" s="1377">
        <v>37.047275766000091</v>
      </c>
      <c r="J23" s="1371">
        <f t="shared" si="0"/>
        <v>0.41566795108475268</v>
      </c>
    </row>
    <row r="24" spans="5:10" ht="12.75" customHeight="1">
      <c r="E24" s="1369">
        <f t="shared" si="1"/>
        <v>3.2860110783776583E-2</v>
      </c>
      <c r="F24" s="538">
        <v>0.34</v>
      </c>
      <c r="G24" s="538">
        <v>0.15056780371999157</v>
      </c>
      <c r="H24" s="538">
        <v>1.44E-2</v>
      </c>
      <c r="I24" s="1377">
        <v>76.249608697969265</v>
      </c>
      <c r="J24" s="1371">
        <f t="shared" si="0"/>
        <v>1.0581704625079849</v>
      </c>
    </row>
    <row r="25" spans="5:10" ht="12.75" customHeight="1">
      <c r="E25" s="1369">
        <f t="shared" si="1"/>
        <v>2.7860110783776582E-2</v>
      </c>
      <c r="F25" s="538">
        <v>0.34</v>
      </c>
      <c r="G25" s="538">
        <v>0.15056780371999157</v>
      </c>
      <c r="H25" s="538">
        <v>1.44E-2</v>
      </c>
      <c r="I25" s="1377">
        <v>-302.02733155084229</v>
      </c>
      <c r="J25" s="1371">
        <f t="shared" si="0"/>
        <v>-4.9610345116287284</v>
      </c>
    </row>
    <row r="26" spans="5:10" ht="12.75" customHeight="1" thickBot="1">
      <c r="E26" s="1372">
        <f t="shared" si="1"/>
        <v>2.2860110783776581E-2</v>
      </c>
      <c r="F26" s="1373">
        <v>0.34</v>
      </c>
      <c r="G26" s="1373">
        <v>0.15056780371999157</v>
      </c>
      <c r="H26" s="1373">
        <v>1.44E-2</v>
      </c>
      <c r="I26" s="1378">
        <v>-45.166964277284656</v>
      </c>
      <c r="J26" s="1374">
        <f t="shared" si="0"/>
        <v>-0.85045404981939066</v>
      </c>
    </row>
    <row r="28" spans="5:10" ht="12.75" customHeight="1" thickBot="1"/>
    <row r="29" spans="5:10" ht="12.75" customHeight="1" thickBot="1">
      <c r="E29" s="1366" t="s">
        <v>1401</v>
      </c>
      <c r="F29" s="1367" t="s">
        <v>1383</v>
      </c>
      <c r="G29" s="1367" t="s">
        <v>1387</v>
      </c>
      <c r="H29" s="1367" t="s">
        <v>661</v>
      </c>
      <c r="I29" s="1367" t="s">
        <v>1399</v>
      </c>
      <c r="J29" s="1368" t="s">
        <v>1400</v>
      </c>
    </row>
    <row r="30" spans="5:10" ht="12.75" customHeight="1">
      <c r="E30" s="1369">
        <f>+B7</f>
        <v>0.15056780371999157</v>
      </c>
      <c r="F30" s="1370">
        <f>+B5</f>
        <v>0.34</v>
      </c>
      <c r="G30" s="1370">
        <f>+B6</f>
        <v>5.7860110783776571E-2</v>
      </c>
      <c r="H30" s="1370">
        <f>+'Costo patrimon.'!C18</f>
        <v>1.44E-2</v>
      </c>
      <c r="I30" s="1375">
        <f ca="1">+F12</f>
        <v>18.106487686232011</v>
      </c>
      <c r="J30" s="415"/>
    </row>
    <row r="31" spans="5:10" ht="12.75" customHeight="1">
      <c r="E31" s="1369">
        <f t="shared" ref="E31:E39" si="2">+E30-0.5%</f>
        <v>0.14556780371999156</v>
      </c>
      <c r="F31" s="1370">
        <f t="dataTable" ref="F31:I39" dt2D="0" dtr="0" r1="B7" ca="1"/>
        <v>0.34</v>
      </c>
      <c r="G31" s="1370">
        <v>5.7860110783776571E-2</v>
      </c>
      <c r="H31" s="1370">
        <v>1.44E-2</v>
      </c>
      <c r="I31" s="1375">
        <v>18.803180933088555</v>
      </c>
      <c r="J31" s="1371">
        <f t="shared" ref="J31:J39" ca="1" si="3">+(I31-I30)/I30</f>
        <v>3.8477547878394018E-2</v>
      </c>
    </row>
    <row r="32" spans="5:10" ht="12.75" customHeight="1">
      <c r="E32" s="1369">
        <f t="shared" si="2"/>
        <v>0.14056780371999156</v>
      </c>
      <c r="F32" s="1370">
        <v>0.34</v>
      </c>
      <c r="G32" s="1370">
        <v>5.7860110783776571E-2</v>
      </c>
      <c r="H32" s="1370">
        <v>1.44E-2</v>
      </c>
      <c r="I32" s="1375">
        <v>20.367010133067019</v>
      </c>
      <c r="J32" s="1371">
        <f t="shared" si="3"/>
        <v>8.3168332291402053E-2</v>
      </c>
    </row>
    <row r="33" spans="5:10" ht="12.75" customHeight="1">
      <c r="E33" s="1369">
        <f t="shared" si="2"/>
        <v>0.13556780371999155</v>
      </c>
      <c r="F33" s="1370">
        <v>0.34</v>
      </c>
      <c r="G33" s="1370">
        <v>5.7860110783776571E-2</v>
      </c>
      <c r="H33" s="1370">
        <v>1.44E-2</v>
      </c>
      <c r="I33" s="1375">
        <v>23.257397994944466</v>
      </c>
      <c r="J33" s="1371">
        <f t="shared" si="3"/>
        <v>0.14191517768161438</v>
      </c>
    </row>
    <row r="34" spans="5:10" ht="12.75" customHeight="1">
      <c r="E34" s="1369">
        <f t="shared" si="2"/>
        <v>0.13056780371999155</v>
      </c>
      <c r="F34" s="1370">
        <v>0.34</v>
      </c>
      <c r="G34" s="1370">
        <v>5.7860110783776571E-2</v>
      </c>
      <c r="H34" s="1370">
        <v>1.44E-2</v>
      </c>
      <c r="I34" s="1375">
        <v>28.648711823902524</v>
      </c>
      <c r="J34" s="1371">
        <f t="shared" si="3"/>
        <v>0.23181070514121938</v>
      </c>
    </row>
    <row r="35" spans="5:10" ht="12.75" customHeight="1">
      <c r="E35" s="1369">
        <f t="shared" si="2"/>
        <v>0.12556780371999154</v>
      </c>
      <c r="F35" s="1370">
        <v>0.34</v>
      </c>
      <c r="G35" s="1370">
        <v>5.7860110783776571E-2</v>
      </c>
      <c r="H35" s="1370">
        <v>1.44E-2</v>
      </c>
      <c r="I35" s="1375">
        <v>40.217573401595686</v>
      </c>
      <c r="J35" s="1371">
        <f t="shared" si="3"/>
        <v>0.40381786269499548</v>
      </c>
    </row>
    <row r="36" spans="5:10" ht="12.75" customHeight="1">
      <c r="E36" s="1369">
        <f t="shared" si="2"/>
        <v>0.12056780371999154</v>
      </c>
      <c r="F36" s="1370">
        <v>0.34</v>
      </c>
      <c r="G36" s="1370">
        <v>5.7860110783776571E-2</v>
      </c>
      <c r="H36" s="1370">
        <v>1.44E-2</v>
      </c>
      <c r="I36" s="1375">
        <v>77.353461858034635</v>
      </c>
      <c r="J36" s="1371">
        <f t="shared" si="3"/>
        <v>0.92337466722856865</v>
      </c>
    </row>
    <row r="37" spans="5:10" ht="12.75" customHeight="1">
      <c r="E37" s="1369">
        <f t="shared" si="2"/>
        <v>0.11556780371999154</v>
      </c>
      <c r="F37" s="1370">
        <v>0.34</v>
      </c>
      <c r="G37" s="1370">
        <v>5.7860110783776571E-2</v>
      </c>
      <c r="H37" s="1370">
        <v>1.44E-2</v>
      </c>
      <c r="I37" s="1375">
        <v>-1194.0112508586371</v>
      </c>
      <c r="J37" s="1371">
        <f t="shared" si="3"/>
        <v>-16.435782991199332</v>
      </c>
    </row>
    <row r="38" spans="5:10" ht="12.75" customHeight="1">
      <c r="E38" s="1369">
        <f t="shared" si="2"/>
        <v>0.11056780371999153</v>
      </c>
      <c r="F38" s="1370">
        <v>0.34</v>
      </c>
      <c r="G38" s="1370">
        <v>5.7860110783776571E-2</v>
      </c>
      <c r="H38" s="1370">
        <v>1.44E-2</v>
      </c>
      <c r="I38" s="126">
        <v>-61.182083364282605</v>
      </c>
      <c r="J38" s="1371">
        <f t="shared" si="3"/>
        <v>-0.94875920698378235</v>
      </c>
    </row>
    <row r="39" spans="5:10" ht="12.75" customHeight="1" thickBot="1">
      <c r="E39" s="1372">
        <f t="shared" si="2"/>
        <v>0.10556780371999153</v>
      </c>
      <c r="F39" s="1376">
        <v>0.34</v>
      </c>
      <c r="G39" s="1376">
        <v>5.7860110783776571E-2</v>
      </c>
      <c r="H39" s="1376">
        <v>1.44E-2</v>
      </c>
      <c r="I39" s="426">
        <v>-29.863474869412382</v>
      </c>
      <c r="J39" s="1374">
        <f t="shared" si="3"/>
        <v>-0.51189182801110145</v>
      </c>
    </row>
  </sheetData>
  <mergeCells count="1">
    <mergeCell ref="A3:C3"/>
  </mergeCells>
  <pageMargins left="0.7" right="0.7" top="0.75" bottom="0.75" header="0.3" footer="0.3"/>
  <pageSetup orientation="portrait" horizontalDpi="4294967293"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897025" r:id="rId4" name="Drop Down 1">
              <controlPr defaultSize="0" autoLine="0" autoPict="0">
                <anchor moveWithCells="1">
                  <from>
                    <xdr:col>2</xdr:col>
                    <xdr:colOff>0</xdr:colOff>
                    <xdr:row>0</xdr:row>
                    <xdr:rowOff>0</xdr:rowOff>
                  </from>
                  <to>
                    <xdr:col>2</xdr:col>
                    <xdr:colOff>0</xdr:colOff>
                    <xdr:row>1</xdr:row>
                    <xdr:rowOff>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zoomScale="80" zoomScaleNormal="80" zoomScaleSheetLayoutView="20" workbookViewId="0">
      <selection activeCell="O27" sqref="O27"/>
    </sheetView>
  </sheetViews>
  <sheetFormatPr baseColWidth="10" defaultRowHeight="15"/>
  <sheetData/>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7"/>
  <sheetViews>
    <sheetView showGridLines="0" workbookViewId="0">
      <selection activeCell="B35" sqref="B35"/>
    </sheetView>
  </sheetViews>
  <sheetFormatPr baseColWidth="10" defaultRowHeight="15"/>
  <cols>
    <col min="1" max="16384" width="11.42578125" style="64"/>
  </cols>
  <sheetData>
    <row r="1" spans="1:9" ht="51.75">
      <c r="A1" s="64">
        <v>0</v>
      </c>
      <c r="B1" s="1121" t="s">
        <v>1189</v>
      </c>
      <c r="C1" s="1122" t="s">
        <v>575</v>
      </c>
      <c r="D1" s="1123" t="s">
        <v>576</v>
      </c>
      <c r="E1" s="1122" t="s">
        <v>577</v>
      </c>
      <c r="F1" s="1122" t="s">
        <v>578</v>
      </c>
      <c r="G1" s="1122" t="s">
        <v>579</v>
      </c>
      <c r="H1" s="1122" t="s">
        <v>580</v>
      </c>
      <c r="I1" s="1122" t="s">
        <v>581</v>
      </c>
    </row>
    <row r="2" spans="1:9">
      <c r="A2" s="64">
        <v>1</v>
      </c>
      <c r="B2" s="732" t="s">
        <v>582</v>
      </c>
      <c r="C2" s="733">
        <v>68</v>
      </c>
      <c r="D2" s="734">
        <v>1.3363530701754387</v>
      </c>
      <c r="E2" s="735">
        <v>6.3275913406229914E-2</v>
      </c>
      <c r="F2" s="735">
        <v>0.14614045107165086</v>
      </c>
      <c r="G2" s="734">
        <v>1.2678525886544603</v>
      </c>
      <c r="H2" s="735">
        <v>5.3161863604732726E-2</v>
      </c>
      <c r="I2" s="734">
        <v>1.3390383634961469</v>
      </c>
    </row>
    <row r="3" spans="1:9">
      <c r="A3" s="64">
        <v>2</v>
      </c>
      <c r="B3" s="732" t="s">
        <v>583</v>
      </c>
      <c r="C3" s="733">
        <v>58</v>
      </c>
      <c r="D3" s="734">
        <v>1.0710857699805072</v>
      </c>
      <c r="E3" s="735">
        <v>0.20924931357337373</v>
      </c>
      <c r="F3" s="735">
        <v>0.15202181125654748</v>
      </c>
      <c r="G3" s="734">
        <v>0.90967421910259061</v>
      </c>
      <c r="H3" s="735">
        <v>7.4215928850812685E-2</v>
      </c>
      <c r="I3" s="734">
        <v>0.98259869385460541</v>
      </c>
    </row>
    <row r="4" spans="1:9">
      <c r="A4" s="64">
        <v>3</v>
      </c>
      <c r="B4" s="732" t="s">
        <v>584</v>
      </c>
      <c r="C4" s="733">
        <v>82</v>
      </c>
      <c r="D4" s="734">
        <v>0.94551315789473656</v>
      </c>
      <c r="E4" s="735">
        <v>1.0243782950859108</v>
      </c>
      <c r="F4" s="735">
        <v>0.12662903372489265</v>
      </c>
      <c r="G4" s="734">
        <v>0.49904047658123263</v>
      </c>
      <c r="H4" s="735">
        <v>7.425810831695466E-2</v>
      </c>
      <c r="I4" s="734">
        <v>0.53907085880487915</v>
      </c>
    </row>
    <row r="5" spans="1:9">
      <c r="A5" s="64">
        <v>4</v>
      </c>
      <c r="B5" s="732" t="s">
        <v>585</v>
      </c>
      <c r="C5" s="733">
        <v>894</v>
      </c>
      <c r="D5" s="734">
        <v>0.87540572273986406</v>
      </c>
      <c r="E5" s="735">
        <v>0.23903267846191414</v>
      </c>
      <c r="F5" s="735">
        <v>0.1413294247130297</v>
      </c>
      <c r="G5" s="734">
        <v>0.72632689056046063</v>
      </c>
      <c r="H5" s="735">
        <v>7.7481609830899467E-2</v>
      </c>
      <c r="I5" s="734">
        <v>0.78733052728338848</v>
      </c>
    </row>
    <row r="6" spans="1:9">
      <c r="A6" s="64">
        <v>5</v>
      </c>
      <c r="B6" s="732" t="s">
        <v>586</v>
      </c>
      <c r="C6" s="733">
        <v>73</v>
      </c>
      <c r="D6" s="734">
        <v>1.2107483320978512</v>
      </c>
      <c r="E6" s="735">
        <v>0.35442300695619516</v>
      </c>
      <c r="F6" s="735">
        <v>0.13921378516172123</v>
      </c>
      <c r="G6" s="734">
        <v>0.92771789450167852</v>
      </c>
      <c r="H6" s="735">
        <v>0.12713059785510353</v>
      </c>
      <c r="I6" s="734">
        <v>1.0628369974041971</v>
      </c>
    </row>
    <row r="7" spans="1:9">
      <c r="A7" s="64">
        <v>6</v>
      </c>
      <c r="B7" s="732" t="s">
        <v>587</v>
      </c>
      <c r="C7" s="733">
        <v>381</v>
      </c>
      <c r="D7" s="734">
        <v>1.3349316086827239</v>
      </c>
      <c r="E7" s="735">
        <v>0.14239282280091189</v>
      </c>
      <c r="F7" s="735">
        <v>0.16809050187499597</v>
      </c>
      <c r="G7" s="734">
        <v>1.1935465419383988</v>
      </c>
      <c r="H7" s="735">
        <v>7.120590653831517E-2</v>
      </c>
      <c r="I7" s="734">
        <v>1.2850496685330566</v>
      </c>
    </row>
    <row r="8" spans="1:9">
      <c r="A8" s="64">
        <v>7</v>
      </c>
      <c r="B8" s="732" t="s">
        <v>860</v>
      </c>
      <c r="C8" s="733">
        <v>445</v>
      </c>
      <c r="D8" s="734">
        <v>0.76241347416159466</v>
      </c>
      <c r="E8" s="735">
        <v>1.2268295111061691</v>
      </c>
      <c r="F8" s="735">
        <v>0.20773081573993937</v>
      </c>
      <c r="G8" s="734">
        <v>0.3866234836449528</v>
      </c>
      <c r="H8" s="735">
        <v>0.25522554480292242</v>
      </c>
      <c r="I8" s="734">
        <v>0.51911485543988867</v>
      </c>
    </row>
    <row r="9" spans="1:9">
      <c r="A9" s="64">
        <v>8</v>
      </c>
      <c r="B9" s="732" t="s">
        <v>588</v>
      </c>
      <c r="C9" s="733">
        <v>75</v>
      </c>
      <c r="D9" s="734">
        <v>0.73325534539473691</v>
      </c>
      <c r="E9" s="735">
        <v>2.237573451879002</v>
      </c>
      <c r="F9" s="735">
        <v>0.20455179730338865</v>
      </c>
      <c r="G9" s="734">
        <v>0.26377289159165035</v>
      </c>
      <c r="H9" s="735">
        <v>0.26152796539917716</v>
      </c>
      <c r="I9" s="734">
        <v>0.3571873804730214</v>
      </c>
    </row>
    <row r="10" spans="1:9">
      <c r="A10" s="64">
        <v>9</v>
      </c>
      <c r="B10" s="732" t="s">
        <v>589</v>
      </c>
      <c r="C10" s="733">
        <v>117</v>
      </c>
      <c r="D10" s="734">
        <v>0.94886367946894268</v>
      </c>
      <c r="E10" s="735">
        <v>3.845337429368529E-2</v>
      </c>
      <c r="F10" s="735">
        <v>0.19899403149881248</v>
      </c>
      <c r="G10" s="734">
        <v>0.92051067814341392</v>
      </c>
      <c r="H10" s="735">
        <v>6.7926260148247181E-2</v>
      </c>
      <c r="I10" s="734">
        <v>0.98759426297089115</v>
      </c>
    </row>
    <row r="11" spans="1:9">
      <c r="A11" s="64">
        <v>10</v>
      </c>
      <c r="B11" s="732" t="s">
        <v>861</v>
      </c>
      <c r="C11" s="733">
        <v>33</v>
      </c>
      <c r="D11" s="734">
        <v>1.2368263157894737</v>
      </c>
      <c r="E11" s="735">
        <v>0.20311817494185053</v>
      </c>
      <c r="F11" s="735">
        <v>0.1562311475058035</v>
      </c>
      <c r="G11" s="734">
        <v>1.0558668056737133</v>
      </c>
      <c r="H11" s="735">
        <v>5.3572021509900945E-2</v>
      </c>
      <c r="I11" s="734">
        <v>1.1156335502234511</v>
      </c>
    </row>
    <row r="12" spans="1:9">
      <c r="A12" s="64">
        <v>11</v>
      </c>
      <c r="B12" s="732" t="s">
        <v>590</v>
      </c>
      <c r="C12" s="733">
        <v>61</v>
      </c>
      <c r="D12" s="734">
        <v>1.3208379501385044</v>
      </c>
      <c r="E12" s="735">
        <v>0.1362538897128093</v>
      </c>
      <c r="F12" s="735">
        <v>0.15973350654471935</v>
      </c>
      <c r="G12" s="734">
        <v>1.185150562247846</v>
      </c>
      <c r="H12" s="735">
        <v>6.3646227100024669E-2</v>
      </c>
      <c r="I12" s="734">
        <v>1.2657081079273313</v>
      </c>
    </row>
    <row r="13" spans="1:9">
      <c r="A13" s="64">
        <v>12</v>
      </c>
      <c r="B13" s="732" t="s">
        <v>591</v>
      </c>
      <c r="C13" s="733">
        <v>379</v>
      </c>
      <c r="D13" s="734">
        <v>1.0244554597701143</v>
      </c>
      <c r="E13" s="735">
        <v>1.1241367704308323</v>
      </c>
      <c r="F13" s="735">
        <v>0.1454391147306287</v>
      </c>
      <c r="G13" s="734">
        <v>0.52250985817259299</v>
      </c>
      <c r="H13" s="735">
        <v>0.21681713009629597</v>
      </c>
      <c r="I13" s="734">
        <v>0.66716201062574065</v>
      </c>
    </row>
    <row r="14" spans="1:9">
      <c r="A14" s="64">
        <v>13</v>
      </c>
      <c r="B14" s="732" t="s">
        <v>592</v>
      </c>
      <c r="C14" s="733">
        <v>214</v>
      </c>
      <c r="D14" s="734">
        <v>1.0419783741532043</v>
      </c>
      <c r="E14" s="735">
        <v>0.26146642234472328</v>
      </c>
      <c r="F14" s="735">
        <v>0.16677289786815974</v>
      </c>
      <c r="G14" s="734">
        <v>0.85558076962234353</v>
      </c>
      <c r="H14" s="735">
        <v>6.8149407558589697E-2</v>
      </c>
      <c r="I14" s="734">
        <v>0.91815230527541658</v>
      </c>
    </row>
    <row r="15" spans="1:9">
      <c r="A15" s="64">
        <v>14</v>
      </c>
      <c r="B15" s="732" t="s">
        <v>593</v>
      </c>
      <c r="C15" s="733">
        <v>176</v>
      </c>
      <c r="D15" s="734">
        <v>1.1092154385964912</v>
      </c>
      <c r="E15" s="735">
        <v>0.11573967829403725</v>
      </c>
      <c r="F15" s="735">
        <v>0.1454673956291104</v>
      </c>
      <c r="G15" s="734">
        <v>1.0093840009446824</v>
      </c>
      <c r="H15" s="735">
        <v>6.1492746177728881E-2</v>
      </c>
      <c r="I15" s="734">
        <v>1.0755207238236579</v>
      </c>
    </row>
    <row r="16" spans="1:9">
      <c r="A16" s="64">
        <v>15</v>
      </c>
      <c r="B16" s="732" t="s">
        <v>594</v>
      </c>
      <c r="C16" s="733">
        <v>27</v>
      </c>
      <c r="D16" s="734">
        <v>1.0802753036437247</v>
      </c>
      <c r="E16" s="735">
        <v>8.0790565107444812E-2</v>
      </c>
      <c r="F16" s="735">
        <v>9.6787128141131648E-2</v>
      </c>
      <c r="G16" s="734">
        <v>1.0068074764189343</v>
      </c>
      <c r="H16" s="735">
        <v>4.7894128326347284E-2</v>
      </c>
      <c r="I16" s="734">
        <v>1.0574532794857412</v>
      </c>
    </row>
    <row r="17" spans="1:9">
      <c r="A17" s="64">
        <v>16</v>
      </c>
      <c r="B17" s="732" t="s">
        <v>595</v>
      </c>
      <c r="C17" s="733">
        <v>552</v>
      </c>
      <c r="D17" s="734">
        <v>1.1173073704375889</v>
      </c>
      <c r="E17" s="735">
        <v>0.31443145618277873</v>
      </c>
      <c r="F17" s="735">
        <v>0.15570343541010903</v>
      </c>
      <c r="G17" s="734">
        <v>0.88291652118413388</v>
      </c>
      <c r="H17" s="735">
        <v>7.3393517590845822E-2</v>
      </c>
      <c r="I17" s="734">
        <v>0.95284949754352299</v>
      </c>
    </row>
    <row r="18" spans="1:9">
      <c r="A18" s="64">
        <v>17</v>
      </c>
      <c r="B18" s="732" t="s">
        <v>596</v>
      </c>
      <c r="C18" s="733">
        <v>39</v>
      </c>
      <c r="D18" s="734">
        <v>1.320921783625731</v>
      </c>
      <c r="E18" s="735">
        <v>0.33170330799695996</v>
      </c>
      <c r="F18" s="735">
        <v>0.14764363801201982</v>
      </c>
      <c r="G18" s="734">
        <v>1.0297742906818583</v>
      </c>
      <c r="H18" s="735">
        <v>5.8170215552706836E-2</v>
      </c>
      <c r="I18" s="734">
        <v>1.0933762211461329</v>
      </c>
    </row>
    <row r="19" spans="1:9">
      <c r="A19" s="64">
        <v>18</v>
      </c>
      <c r="B19" s="732" t="s">
        <v>597</v>
      </c>
      <c r="C19" s="733">
        <v>416</v>
      </c>
      <c r="D19" s="734">
        <v>1.2304580767077253</v>
      </c>
      <c r="E19" s="735">
        <v>0.27659049024689525</v>
      </c>
      <c r="F19" s="735">
        <v>0.16485160416471348</v>
      </c>
      <c r="G19" s="734">
        <v>0.99956455719534187</v>
      </c>
      <c r="H19" s="735">
        <v>6.4195843714982659E-2</v>
      </c>
      <c r="I19" s="734">
        <v>1.0681343425139747</v>
      </c>
    </row>
    <row r="20" spans="1:9">
      <c r="A20" s="64">
        <v>19</v>
      </c>
      <c r="B20" s="732" t="s">
        <v>598</v>
      </c>
      <c r="C20" s="733">
        <v>109</v>
      </c>
      <c r="D20" s="734">
        <v>1.4134377013963484</v>
      </c>
      <c r="E20" s="735">
        <v>0.61132169020913751</v>
      </c>
      <c r="F20" s="735">
        <v>0.11671580476738591</v>
      </c>
      <c r="G20" s="734">
        <v>0.91783409995637466</v>
      </c>
      <c r="H20" s="735">
        <v>0.13945017571293644</v>
      </c>
      <c r="I20" s="734">
        <v>1.0665670645122369</v>
      </c>
    </row>
    <row r="21" spans="1:9">
      <c r="A21" s="64">
        <v>20</v>
      </c>
      <c r="B21" s="732" t="s">
        <v>599</v>
      </c>
      <c r="C21" s="733">
        <v>413</v>
      </c>
      <c r="D21" s="734">
        <v>1.1073117615467236</v>
      </c>
      <c r="E21" s="735">
        <v>9.3493735082773352E-2</v>
      </c>
      <c r="F21" s="735">
        <v>0.13419096011107992</v>
      </c>
      <c r="G21" s="734">
        <v>1.0243897461706126</v>
      </c>
      <c r="H21" s="735">
        <v>5.77572509247231E-2</v>
      </c>
      <c r="I21" s="734">
        <v>1.0871824136359289</v>
      </c>
    </row>
    <row r="22" spans="1:9">
      <c r="A22" s="64">
        <v>21</v>
      </c>
      <c r="B22" s="732" t="s">
        <v>600</v>
      </c>
      <c r="C22" s="733">
        <v>198</v>
      </c>
      <c r="D22" s="734">
        <v>1.3228527700831025</v>
      </c>
      <c r="E22" s="735">
        <v>0.19566907196297964</v>
      </c>
      <c r="F22" s="735">
        <v>0.13289983408938166</v>
      </c>
      <c r="G22" s="734">
        <v>1.1309675219881568</v>
      </c>
      <c r="H22" s="735">
        <v>0.16647268273336138</v>
      </c>
      <c r="I22" s="734">
        <v>1.3568451789881404</v>
      </c>
    </row>
    <row r="23" spans="1:9">
      <c r="A23" s="64">
        <v>22</v>
      </c>
      <c r="B23" s="732" t="s">
        <v>862</v>
      </c>
      <c r="C23" s="733">
        <v>498</v>
      </c>
      <c r="D23" s="734">
        <v>1.0875319757264563</v>
      </c>
      <c r="E23" s="735">
        <v>0.45298676085055339</v>
      </c>
      <c r="F23" s="735">
        <v>0.13971232298982031</v>
      </c>
      <c r="G23" s="734">
        <v>0.78256660752299312</v>
      </c>
      <c r="H23" s="735">
        <v>0.11430653060276401</v>
      </c>
      <c r="I23" s="734">
        <v>0.88356370975115517</v>
      </c>
    </row>
    <row r="24" spans="1:9">
      <c r="A24" s="64">
        <v>23</v>
      </c>
      <c r="B24" s="732" t="s">
        <v>601</v>
      </c>
      <c r="C24" s="733">
        <v>237</v>
      </c>
      <c r="D24" s="734">
        <v>0.93914776432231006</v>
      </c>
      <c r="E24" s="735">
        <v>0.91914396252499309</v>
      </c>
      <c r="F24" s="735">
        <v>0.13268700447468745</v>
      </c>
      <c r="G24" s="734">
        <v>0.52256584671756545</v>
      </c>
      <c r="H24" s="735">
        <v>0.11694809748778537</v>
      </c>
      <c r="I24" s="734">
        <v>0.59177251669002229</v>
      </c>
    </row>
    <row r="25" spans="1:9">
      <c r="A25" s="64">
        <v>24</v>
      </c>
      <c r="B25" s="732" t="s">
        <v>863</v>
      </c>
      <c r="C25" s="733">
        <v>146</v>
      </c>
      <c r="D25" s="734">
        <v>1.2123404210526321</v>
      </c>
      <c r="E25" s="735">
        <v>4.1578056656593726E-2</v>
      </c>
      <c r="F25" s="735">
        <v>6.6459134174714829E-2</v>
      </c>
      <c r="G25" s="734">
        <v>1.1670419053855563</v>
      </c>
      <c r="H25" s="735">
        <v>4.0266264995504016E-2</v>
      </c>
      <c r="I25" s="734">
        <v>1.2160059220801374</v>
      </c>
    </row>
    <row r="26" spans="1:9">
      <c r="A26" s="64">
        <v>25</v>
      </c>
      <c r="B26" s="732" t="s">
        <v>864</v>
      </c>
      <c r="C26" s="733">
        <v>553</v>
      </c>
      <c r="D26" s="734">
        <v>1.1209778312512801</v>
      </c>
      <c r="E26" s="735">
        <v>8.0577394942266553E-2</v>
      </c>
      <c r="F26" s="735">
        <v>0.15699508075214155</v>
      </c>
      <c r="G26" s="734">
        <v>1.0496763205391042</v>
      </c>
      <c r="H26" s="735">
        <v>5.1107612199554592E-2</v>
      </c>
      <c r="I26" s="734">
        <v>1.1062121838412871</v>
      </c>
    </row>
    <row r="27" spans="1:9">
      <c r="A27" s="64">
        <v>26</v>
      </c>
      <c r="B27" s="732" t="s">
        <v>865</v>
      </c>
      <c r="C27" s="733">
        <v>81</v>
      </c>
      <c r="D27" s="734">
        <v>1.2210112781954889</v>
      </c>
      <c r="E27" s="735">
        <v>0.20296859996617941</v>
      </c>
      <c r="F27" s="735">
        <v>0.12893531403568184</v>
      </c>
      <c r="G27" s="734">
        <v>1.0375701429714395</v>
      </c>
      <c r="H27" s="735">
        <v>7.2367204932038631E-2</v>
      </c>
      <c r="I27" s="734">
        <v>1.1185138650638411</v>
      </c>
    </row>
    <row r="28" spans="1:9">
      <c r="A28" s="64">
        <v>27</v>
      </c>
      <c r="B28" s="732" t="s">
        <v>602</v>
      </c>
      <c r="C28" s="733">
        <v>513</v>
      </c>
      <c r="D28" s="734">
        <v>1.2176790137107476</v>
      </c>
      <c r="E28" s="735">
        <v>0.16705538248696689</v>
      </c>
      <c r="F28" s="735">
        <v>0.14833747681950407</v>
      </c>
      <c r="G28" s="734">
        <v>1.0660123155881289</v>
      </c>
      <c r="H28" s="735">
        <v>8.2186783541507102E-2</v>
      </c>
      <c r="I28" s="734">
        <v>1.1614697810753722</v>
      </c>
    </row>
    <row r="29" spans="1:9">
      <c r="A29" s="64">
        <v>28</v>
      </c>
      <c r="B29" s="732" t="s">
        <v>603</v>
      </c>
      <c r="C29" s="733">
        <v>90</v>
      </c>
      <c r="D29" s="734">
        <v>1.3764288847117794</v>
      </c>
      <c r="E29" s="735">
        <v>0.45983263751011044</v>
      </c>
      <c r="F29" s="735">
        <v>0.10598802544191882</v>
      </c>
      <c r="G29" s="734">
        <v>0.97543256988954807</v>
      </c>
      <c r="H29" s="735">
        <v>0.14464904710556795</v>
      </c>
      <c r="I29" s="734">
        <v>1.1403887101414576</v>
      </c>
    </row>
    <row r="30" spans="1:9">
      <c r="A30" s="64">
        <v>29</v>
      </c>
      <c r="B30" s="732" t="s">
        <v>866</v>
      </c>
      <c r="C30" s="733">
        <v>721</v>
      </c>
      <c r="D30" s="734">
        <v>1.3756352554179563</v>
      </c>
      <c r="E30" s="735">
        <v>0.16801467765003694</v>
      </c>
      <c r="F30" s="735">
        <v>0.12989177415512532</v>
      </c>
      <c r="G30" s="734">
        <v>1.2001798231910963</v>
      </c>
      <c r="H30" s="735">
        <v>0.12260016961531485</v>
      </c>
      <c r="I30" s="734">
        <v>1.3678824426771228</v>
      </c>
    </row>
    <row r="31" spans="1:9">
      <c r="A31" s="64">
        <v>30</v>
      </c>
      <c r="B31" s="732" t="s">
        <v>867</v>
      </c>
      <c r="C31" s="733">
        <v>677</v>
      </c>
      <c r="D31" s="734">
        <v>1.2691985940246056</v>
      </c>
      <c r="E31" s="735">
        <v>0.79305754635981796</v>
      </c>
      <c r="F31" s="735">
        <v>0.14457853927701597</v>
      </c>
      <c r="G31" s="734">
        <v>0.7561962405284598</v>
      </c>
      <c r="H31" s="735">
        <v>0.18880261604798826</v>
      </c>
      <c r="I31" s="734">
        <v>0.93219758284278986</v>
      </c>
    </row>
    <row r="32" spans="1:9">
      <c r="A32" s="64">
        <v>31</v>
      </c>
      <c r="B32" s="732" t="s">
        <v>604</v>
      </c>
      <c r="C32" s="733">
        <v>151</v>
      </c>
      <c r="D32" s="734">
        <v>1.3523608746130031</v>
      </c>
      <c r="E32" s="735">
        <v>7.0070160100704659E-2</v>
      </c>
      <c r="F32" s="735">
        <v>0.12176555647496168</v>
      </c>
      <c r="G32" s="734">
        <v>1.2739636629690148</v>
      </c>
      <c r="H32" s="735">
        <v>5.7590789297408781E-2</v>
      </c>
      <c r="I32" s="734">
        <v>1.3518158019903486</v>
      </c>
    </row>
    <row r="33" spans="1:9">
      <c r="A33" s="64">
        <v>32</v>
      </c>
      <c r="B33" s="732" t="s">
        <v>605</v>
      </c>
      <c r="C33" s="733">
        <v>94</v>
      </c>
      <c r="D33" s="734">
        <v>1.8315383077948031</v>
      </c>
      <c r="E33" s="735">
        <v>0.11610851155217594</v>
      </c>
      <c r="F33" s="735">
        <v>0.12633177398325843</v>
      </c>
      <c r="G33" s="734">
        <v>1.6628575139345836</v>
      </c>
      <c r="H33" s="735">
        <v>8.3960677539659981E-2</v>
      </c>
      <c r="I33" s="734">
        <v>1.8152687042608666</v>
      </c>
    </row>
    <row r="34" spans="1:9">
      <c r="A34" s="64">
        <v>33</v>
      </c>
      <c r="B34" s="732" t="s">
        <v>606</v>
      </c>
      <c r="C34" s="733">
        <v>282</v>
      </c>
      <c r="D34" s="734">
        <v>0.96659429824561482</v>
      </c>
      <c r="E34" s="735">
        <v>0.27831517899242125</v>
      </c>
      <c r="F34" s="735">
        <v>0.10234148376003629</v>
      </c>
      <c r="G34" s="734">
        <v>0.77337938658862404</v>
      </c>
      <c r="H34" s="735">
        <v>6.1295720246189005E-2</v>
      </c>
      <c r="I34" s="734">
        <v>0.82387968529498357</v>
      </c>
    </row>
    <row r="35" spans="1:9">
      <c r="A35" s="64">
        <v>34</v>
      </c>
      <c r="B35" s="732" t="s">
        <v>607</v>
      </c>
      <c r="C35" s="733">
        <v>509</v>
      </c>
      <c r="D35" s="734">
        <v>0.66603755106945484</v>
      </c>
      <c r="E35" s="735">
        <v>1.010784068198576</v>
      </c>
      <c r="F35" s="735">
        <v>0.16900956891597149</v>
      </c>
      <c r="G35" s="734">
        <v>0.36198639497515983</v>
      </c>
      <c r="H35" s="735">
        <v>0.13408894165927024</v>
      </c>
      <c r="I35" s="734">
        <v>0.41804108111149768</v>
      </c>
    </row>
    <row r="36" spans="1:9">
      <c r="A36" s="64">
        <v>35</v>
      </c>
      <c r="B36" s="732" t="s">
        <v>608</v>
      </c>
      <c r="C36" s="733">
        <v>815</v>
      </c>
      <c r="D36" s="734">
        <v>0.87115197191091065</v>
      </c>
      <c r="E36" s="735">
        <v>0.2811135862400857</v>
      </c>
      <c r="F36" s="735">
        <v>0.14137625447026311</v>
      </c>
      <c r="G36" s="734">
        <v>0.70176612151227058</v>
      </c>
      <c r="H36" s="735">
        <v>7.17009810044065E-2</v>
      </c>
      <c r="I36" s="734">
        <v>0.75596990533456732</v>
      </c>
    </row>
    <row r="37" spans="1:9">
      <c r="A37" s="64">
        <v>36</v>
      </c>
      <c r="B37" s="732" t="s">
        <v>609</v>
      </c>
      <c r="C37" s="733">
        <v>53</v>
      </c>
      <c r="D37" s="734">
        <v>0.75980643274853799</v>
      </c>
      <c r="E37" s="735">
        <v>0.53190317211540383</v>
      </c>
      <c r="F37" s="735">
        <v>0.12906231536637155</v>
      </c>
      <c r="G37" s="734">
        <v>0.51925787607836904</v>
      </c>
      <c r="H37" s="735">
        <v>5.4617121529538251E-2</v>
      </c>
      <c r="I37" s="734">
        <v>0.54925669578285374</v>
      </c>
    </row>
    <row r="38" spans="1:9">
      <c r="A38" s="64">
        <v>37</v>
      </c>
      <c r="B38" s="732" t="s">
        <v>610</v>
      </c>
      <c r="C38" s="733">
        <v>196</v>
      </c>
      <c r="D38" s="734">
        <v>1.0734797238999141</v>
      </c>
      <c r="E38" s="735">
        <v>0.11318963235180399</v>
      </c>
      <c r="F38" s="735">
        <v>0.16504783291531219</v>
      </c>
      <c r="G38" s="734">
        <v>0.98078752618416909</v>
      </c>
      <c r="H38" s="735">
        <v>0.14484947418813413</v>
      </c>
      <c r="I38" s="734">
        <v>1.1469179946454755</v>
      </c>
    </row>
    <row r="39" spans="1:9">
      <c r="A39" s="64">
        <v>38</v>
      </c>
      <c r="B39" s="732" t="s">
        <v>868</v>
      </c>
      <c r="C39" s="733">
        <v>71</v>
      </c>
      <c r="D39" s="734">
        <v>1.0559283400809718</v>
      </c>
      <c r="E39" s="735">
        <v>0.59600975445592508</v>
      </c>
      <c r="F39" s="735">
        <v>0.1047973347571246</v>
      </c>
      <c r="G39" s="734">
        <v>0.68855183730825653</v>
      </c>
      <c r="H39" s="735">
        <v>2.6276278555865874E-2</v>
      </c>
      <c r="I39" s="734">
        <v>0.70713265184405916</v>
      </c>
    </row>
    <row r="40" spans="1:9">
      <c r="A40" s="64">
        <v>39</v>
      </c>
      <c r="B40" s="732" t="s">
        <v>611</v>
      </c>
      <c r="C40" s="733">
        <v>155</v>
      </c>
      <c r="D40" s="734">
        <v>1.2103294495781436</v>
      </c>
      <c r="E40" s="735">
        <v>5.8593686783651663E-2</v>
      </c>
      <c r="F40" s="735">
        <v>0.10543951176603164</v>
      </c>
      <c r="G40" s="734">
        <v>1.150048947358044</v>
      </c>
      <c r="H40" s="735">
        <v>5.7701239214017423E-2</v>
      </c>
      <c r="I40" s="734">
        <v>1.2204716754575529</v>
      </c>
    </row>
    <row r="41" spans="1:9">
      <c r="A41" s="64">
        <v>40</v>
      </c>
      <c r="B41" s="732" t="s">
        <v>869</v>
      </c>
      <c r="C41" s="733">
        <v>99</v>
      </c>
      <c r="D41" s="734">
        <v>1.6234928229665067</v>
      </c>
      <c r="E41" s="735">
        <v>0.227246133500216</v>
      </c>
      <c r="F41" s="735">
        <v>0.1660466879899791</v>
      </c>
      <c r="G41" s="734">
        <v>1.3648386182139873</v>
      </c>
      <c r="H41" s="735">
        <v>0.11205446437396832</v>
      </c>
      <c r="I41" s="734">
        <v>1.5370747004789318</v>
      </c>
    </row>
    <row r="42" spans="1:9">
      <c r="A42" s="64">
        <v>41</v>
      </c>
      <c r="B42" s="732" t="s">
        <v>612</v>
      </c>
      <c r="C42" s="733">
        <v>45</v>
      </c>
      <c r="D42" s="734">
        <v>1.3693362573099412</v>
      </c>
      <c r="E42" s="735">
        <v>4.4678277624143815E-2</v>
      </c>
      <c r="F42" s="735">
        <v>7.2060763884600268E-2</v>
      </c>
      <c r="G42" s="734">
        <v>1.3148252754143139</v>
      </c>
      <c r="H42" s="735">
        <v>2.2860050375035138E-2</v>
      </c>
      <c r="I42" s="734">
        <v>1.3455854260374429</v>
      </c>
    </row>
    <row r="43" spans="1:9">
      <c r="A43" s="64">
        <v>42</v>
      </c>
      <c r="B43" s="732" t="s">
        <v>613</v>
      </c>
      <c r="C43" s="733">
        <v>30</v>
      </c>
      <c r="D43" s="734">
        <v>1.7502838345864664</v>
      </c>
      <c r="E43" s="735">
        <v>0.83733898077762303</v>
      </c>
      <c r="F43" s="735">
        <v>0.11572936416427201</v>
      </c>
      <c r="G43" s="734">
        <v>1.0056592551625325</v>
      </c>
      <c r="H43" s="735">
        <v>9.8021430493371822E-2</v>
      </c>
      <c r="I43" s="734">
        <v>1.1149480588132117</v>
      </c>
    </row>
    <row r="44" spans="1:9">
      <c r="A44" s="64">
        <v>43</v>
      </c>
      <c r="B44" s="732" t="s">
        <v>870</v>
      </c>
      <c r="C44" s="733">
        <v>82</v>
      </c>
      <c r="D44" s="734">
        <v>0.58664722617354181</v>
      </c>
      <c r="E44" s="735">
        <v>0.18148001641799275</v>
      </c>
      <c r="F44" s="735">
        <v>0.19078627367235432</v>
      </c>
      <c r="G44" s="734">
        <v>0.51152643803289322</v>
      </c>
      <c r="H44" s="735">
        <v>3.0951873690492362E-2</v>
      </c>
      <c r="I44" s="734">
        <v>0.52786484401035316</v>
      </c>
    </row>
    <row r="45" spans="1:9">
      <c r="A45" s="64">
        <v>44</v>
      </c>
      <c r="B45" s="732" t="s">
        <v>614</v>
      </c>
      <c r="C45" s="733">
        <v>399</v>
      </c>
      <c r="D45" s="734">
        <v>0.91934260857060679</v>
      </c>
      <c r="E45" s="735">
        <v>0.29774259203971992</v>
      </c>
      <c r="F45" s="735">
        <v>0.13573563969506558</v>
      </c>
      <c r="G45" s="734">
        <v>0.73118739206066419</v>
      </c>
      <c r="H45" s="735">
        <v>0.11541810234544941</v>
      </c>
      <c r="I45" s="734">
        <v>0.82659095104635483</v>
      </c>
    </row>
    <row r="46" spans="1:9">
      <c r="A46" s="64">
        <v>45</v>
      </c>
      <c r="B46" s="732" t="s">
        <v>615</v>
      </c>
      <c r="C46" s="733">
        <v>221</v>
      </c>
      <c r="D46" s="734">
        <v>1.0589694311536417</v>
      </c>
      <c r="E46" s="735">
        <v>7.7099650131183473E-2</v>
      </c>
      <c r="F46" s="735">
        <v>0.15200374928384533</v>
      </c>
      <c r="G46" s="734">
        <v>0.99398263361434247</v>
      </c>
      <c r="H46" s="735">
        <v>4.6872187993979721E-2</v>
      </c>
      <c r="I46" s="734">
        <v>1.0428639486684752</v>
      </c>
    </row>
    <row r="47" spans="1:9">
      <c r="A47" s="64">
        <v>46</v>
      </c>
      <c r="B47" s="732" t="s">
        <v>616</v>
      </c>
      <c r="C47" s="733">
        <v>51</v>
      </c>
      <c r="D47" s="734">
        <v>1.1747552631578948</v>
      </c>
      <c r="E47" s="735">
        <v>0.14040751676489746</v>
      </c>
      <c r="F47" s="735">
        <v>0.18682938218198153</v>
      </c>
      <c r="G47" s="734">
        <v>1.0543720523958784</v>
      </c>
      <c r="H47" s="735">
        <v>4.7263480221275987E-2</v>
      </c>
      <c r="I47" s="734">
        <v>1.1066774816617291</v>
      </c>
    </row>
    <row r="48" spans="1:9">
      <c r="A48" s="64">
        <v>47</v>
      </c>
      <c r="B48" s="732" t="s">
        <v>617</v>
      </c>
      <c r="C48" s="733">
        <v>140</v>
      </c>
      <c r="D48" s="734">
        <v>0.64411133603238879</v>
      </c>
      <c r="E48" s="735">
        <v>0.36694439856441291</v>
      </c>
      <c r="F48" s="735">
        <v>0.13239047197612297</v>
      </c>
      <c r="G48" s="734">
        <v>0.48856849324280416</v>
      </c>
      <c r="H48" s="735">
        <v>0.11685159226438005</v>
      </c>
      <c r="I48" s="734">
        <v>0.55321222227585376</v>
      </c>
    </row>
    <row r="49" spans="1:9">
      <c r="A49" s="64">
        <v>48</v>
      </c>
      <c r="B49" s="732" t="s">
        <v>618</v>
      </c>
      <c r="C49" s="733">
        <v>57</v>
      </c>
      <c r="D49" s="734">
        <v>0.73396325719960287</v>
      </c>
      <c r="E49" s="735">
        <v>0.47176218347412846</v>
      </c>
      <c r="F49" s="735">
        <v>0.12845282424765722</v>
      </c>
      <c r="G49" s="734">
        <v>0.52011231722364182</v>
      </c>
      <c r="H49" s="735">
        <v>0.19860914746965017</v>
      </c>
      <c r="I49" s="734">
        <v>0.64901204647072563</v>
      </c>
    </row>
    <row r="50" spans="1:9">
      <c r="A50" s="64">
        <v>49</v>
      </c>
      <c r="B50" s="732" t="s">
        <v>619</v>
      </c>
      <c r="C50" s="733">
        <v>130</v>
      </c>
      <c r="D50" s="734">
        <v>0.40163423264042453</v>
      </c>
      <c r="E50" s="735">
        <v>0.26360298618026667</v>
      </c>
      <c r="F50" s="735">
        <v>0.16424312144519324</v>
      </c>
      <c r="G50" s="734">
        <v>0.32912529435901439</v>
      </c>
      <c r="H50" s="735">
        <v>0.12258394516545044</v>
      </c>
      <c r="I50" s="734">
        <v>0.37510744480402297</v>
      </c>
    </row>
    <row r="51" spans="1:9">
      <c r="A51" s="64">
        <v>50</v>
      </c>
      <c r="B51" s="732" t="s">
        <v>871</v>
      </c>
      <c r="C51" s="733">
        <v>303</v>
      </c>
      <c r="D51" s="734">
        <v>0.86651054679500328</v>
      </c>
      <c r="E51" s="735">
        <v>1.9028697696898225</v>
      </c>
      <c r="F51" s="735">
        <v>7.7686579376354467E-2</v>
      </c>
      <c r="G51" s="734">
        <v>0.31451805241909603</v>
      </c>
      <c r="H51" s="735">
        <v>8.5648848273946102E-2</v>
      </c>
      <c r="I51" s="734">
        <v>0.34397950046365544</v>
      </c>
    </row>
    <row r="52" spans="1:9">
      <c r="A52" s="64">
        <v>51</v>
      </c>
      <c r="B52" s="732" t="s">
        <v>620</v>
      </c>
      <c r="C52" s="733">
        <v>648</v>
      </c>
      <c r="D52" s="734">
        <v>1.2501780448574729</v>
      </c>
      <c r="E52" s="735">
        <v>0.13554862047754676</v>
      </c>
      <c r="F52" s="735">
        <v>0.15697807507616876</v>
      </c>
      <c r="G52" s="734">
        <v>1.1219700161746087</v>
      </c>
      <c r="H52" s="735">
        <v>6.0510673448067938E-2</v>
      </c>
      <c r="I52" s="734">
        <v>1.1942339146016787</v>
      </c>
    </row>
    <row r="53" spans="1:9">
      <c r="A53" s="64">
        <v>52</v>
      </c>
      <c r="B53" s="732" t="s">
        <v>621</v>
      </c>
      <c r="C53" s="733">
        <v>301</v>
      </c>
      <c r="D53" s="734">
        <v>1.4386402856583835</v>
      </c>
      <c r="E53" s="735">
        <v>0.49328958462616129</v>
      </c>
      <c r="F53" s="735">
        <v>0.10607356071575541</v>
      </c>
      <c r="G53" s="734">
        <v>0.99838697199127135</v>
      </c>
      <c r="H53" s="735">
        <v>7.891580988979538E-2</v>
      </c>
      <c r="I53" s="734">
        <v>1.0839258590160121</v>
      </c>
    </row>
    <row r="54" spans="1:9">
      <c r="A54" s="64">
        <v>53</v>
      </c>
      <c r="B54" s="732" t="s">
        <v>622</v>
      </c>
      <c r="C54" s="733">
        <v>61</v>
      </c>
      <c r="D54" s="734">
        <v>0.88880506822612082</v>
      </c>
      <c r="E54" s="735">
        <v>0.10165691862708111</v>
      </c>
      <c r="F54" s="735">
        <v>0.12264558660771527</v>
      </c>
      <c r="G54" s="734">
        <v>0.81602453652737961</v>
      </c>
      <c r="H54" s="735">
        <v>7.2247103186626777E-2</v>
      </c>
      <c r="I54" s="734">
        <v>0.87957099280448925</v>
      </c>
    </row>
    <row r="55" spans="1:9">
      <c r="A55" s="64">
        <v>54</v>
      </c>
      <c r="B55" s="732" t="s">
        <v>623</v>
      </c>
      <c r="C55" s="733">
        <v>22</v>
      </c>
      <c r="D55" s="734">
        <v>1.5684545454545455</v>
      </c>
      <c r="E55" s="735">
        <v>0.67715576608544503</v>
      </c>
      <c r="F55" s="735">
        <v>0.27671608336879477</v>
      </c>
      <c r="G55" s="734">
        <v>1.0528124210687881</v>
      </c>
      <c r="H55" s="735">
        <v>8.0159959293595887E-2</v>
      </c>
      <c r="I55" s="734">
        <v>1.1445603305768968</v>
      </c>
    </row>
    <row r="56" spans="1:9">
      <c r="A56" s="64">
        <v>55</v>
      </c>
      <c r="B56" s="732" t="s">
        <v>624</v>
      </c>
      <c r="C56" s="733">
        <v>132</v>
      </c>
      <c r="D56" s="734">
        <v>2.2963578947368424</v>
      </c>
      <c r="E56" s="735">
        <v>0.55813038947343718</v>
      </c>
      <c r="F56" s="735">
        <v>7.8891300977584233E-2</v>
      </c>
      <c r="G56" s="734">
        <v>1.516650009929857</v>
      </c>
      <c r="H56" s="735">
        <v>7.1371448846425656E-2</v>
      </c>
      <c r="I56" s="734">
        <v>1.6332149254358184</v>
      </c>
    </row>
    <row r="57" spans="1:9">
      <c r="A57" s="64">
        <v>56</v>
      </c>
      <c r="B57" s="732" t="s">
        <v>625</v>
      </c>
      <c r="C57" s="733">
        <v>81</v>
      </c>
      <c r="D57" s="734">
        <v>1.7769453178400554</v>
      </c>
      <c r="E57" s="735">
        <v>0.9780712642053625</v>
      </c>
      <c r="F57" s="735">
        <v>0.1271230616069472</v>
      </c>
      <c r="G57" s="734">
        <v>0.95857525614361139</v>
      </c>
      <c r="H57" s="735">
        <v>6.9249908545503835E-2</v>
      </c>
      <c r="I57" s="734">
        <v>1.0298954197744234</v>
      </c>
    </row>
    <row r="58" spans="1:9">
      <c r="A58" s="64">
        <v>57</v>
      </c>
      <c r="B58" s="732" t="s">
        <v>626</v>
      </c>
      <c r="C58" s="733">
        <v>248</v>
      </c>
      <c r="D58" s="734">
        <v>1.5839826869806091</v>
      </c>
      <c r="E58" s="735">
        <v>0.49913362478459655</v>
      </c>
      <c r="F58" s="735">
        <v>0.12893604000770045</v>
      </c>
      <c r="G58" s="734">
        <v>1.1039920090640012</v>
      </c>
      <c r="H58" s="735">
        <v>6.2997280579441858E-2</v>
      </c>
      <c r="I58" s="734">
        <v>1.178216440766265</v>
      </c>
    </row>
    <row r="59" spans="1:9">
      <c r="A59" s="64">
        <v>58</v>
      </c>
      <c r="B59" s="732" t="s">
        <v>627</v>
      </c>
      <c r="C59" s="733">
        <v>281</v>
      </c>
      <c r="D59" s="734">
        <v>0.75094938495664432</v>
      </c>
      <c r="E59" s="735">
        <v>0.2731049826536785</v>
      </c>
      <c r="F59" s="735">
        <v>0.17370166143068386</v>
      </c>
      <c r="G59" s="734">
        <v>0.61268670783860979</v>
      </c>
      <c r="H59" s="735">
        <v>6.9097866088731572E-2</v>
      </c>
      <c r="I59" s="734">
        <v>0.65816446812121043</v>
      </c>
    </row>
    <row r="60" spans="1:9">
      <c r="A60" s="64">
        <v>59</v>
      </c>
      <c r="B60" s="732" t="s">
        <v>628</v>
      </c>
      <c r="C60" s="733">
        <v>191</v>
      </c>
      <c r="D60" s="734">
        <v>0.97741990221455322</v>
      </c>
      <c r="E60" s="735">
        <v>0.65519516846207393</v>
      </c>
      <c r="F60" s="735">
        <v>0.12563102207210267</v>
      </c>
      <c r="G60" s="734">
        <v>0.62141959617801257</v>
      </c>
      <c r="H60" s="735">
        <v>6.4698183060365663E-2</v>
      </c>
      <c r="I60" s="734">
        <v>0.66440541964446953</v>
      </c>
    </row>
    <row r="61" spans="1:9">
      <c r="A61" s="64">
        <v>60</v>
      </c>
      <c r="B61" s="732" t="s">
        <v>629</v>
      </c>
      <c r="C61" s="733">
        <v>355</v>
      </c>
      <c r="D61" s="734">
        <v>0.93582592301649581</v>
      </c>
      <c r="E61" s="735">
        <v>0.90620027221091259</v>
      </c>
      <c r="F61" s="735">
        <v>0.16668585008300824</v>
      </c>
      <c r="G61" s="734">
        <v>0.53318872150519225</v>
      </c>
      <c r="H61" s="735">
        <v>5.9874039657769697E-2</v>
      </c>
      <c r="I61" s="734">
        <v>0.56714604637776167</v>
      </c>
    </row>
    <row r="62" spans="1:9">
      <c r="A62" s="64">
        <v>61</v>
      </c>
      <c r="B62" s="732" t="s">
        <v>630</v>
      </c>
      <c r="C62" s="733">
        <v>96</v>
      </c>
      <c r="D62" s="734">
        <v>1.6346590774689527</v>
      </c>
      <c r="E62" s="735">
        <v>0.45617914559579192</v>
      </c>
      <c r="F62" s="735">
        <v>0.12095539860779168</v>
      </c>
      <c r="G62" s="734">
        <v>1.1667787005909698</v>
      </c>
      <c r="H62" s="735">
        <v>7.2057948506993846E-2</v>
      </c>
      <c r="I62" s="734">
        <v>1.2573831509345752</v>
      </c>
    </row>
    <row r="63" spans="1:9">
      <c r="A63" s="64">
        <v>62</v>
      </c>
      <c r="B63" s="732" t="s">
        <v>631</v>
      </c>
      <c r="C63" s="733">
        <v>153</v>
      </c>
      <c r="D63" s="734">
        <v>1.0367528690146419</v>
      </c>
      <c r="E63" s="735">
        <v>6.8843829654381059E-2</v>
      </c>
      <c r="F63" s="735">
        <v>0.13405182130204377</v>
      </c>
      <c r="G63" s="734">
        <v>0.97842394094707785</v>
      </c>
      <c r="H63" s="735">
        <v>8.4777595826081312E-2</v>
      </c>
      <c r="I63" s="734">
        <v>1.0690559327273079</v>
      </c>
    </row>
    <row r="64" spans="1:9">
      <c r="A64" s="64">
        <v>63</v>
      </c>
      <c r="B64" s="732" t="s">
        <v>632</v>
      </c>
      <c r="C64" s="733">
        <v>72</v>
      </c>
      <c r="D64" s="734">
        <v>0.75584069548872157</v>
      </c>
      <c r="E64" s="735">
        <v>0.44327474524967286</v>
      </c>
      <c r="F64" s="735">
        <v>3.2840480010256516E-2</v>
      </c>
      <c r="G64" s="734">
        <v>0.52903443386642346</v>
      </c>
      <c r="H64" s="735">
        <v>2.1568870026957947E-2</v>
      </c>
      <c r="I64" s="734">
        <v>0.5406966496262231</v>
      </c>
    </row>
    <row r="65" spans="1:9">
      <c r="A65" s="64">
        <v>64</v>
      </c>
      <c r="B65" s="732" t="s">
        <v>633</v>
      </c>
      <c r="C65" s="733">
        <v>629</v>
      </c>
      <c r="D65" s="734">
        <v>1.2121942672337418</v>
      </c>
      <c r="E65" s="735">
        <v>0.9362707640350002</v>
      </c>
      <c r="F65" s="735">
        <v>0.19768601954696255</v>
      </c>
      <c r="G65" s="734">
        <v>0.69221445260875125</v>
      </c>
      <c r="H65" s="735">
        <v>0.14400332842541108</v>
      </c>
      <c r="I65" s="734">
        <v>0.80866488807186188</v>
      </c>
    </row>
    <row r="66" spans="1:9">
      <c r="A66" s="64">
        <v>65</v>
      </c>
      <c r="B66" s="732" t="s">
        <v>872</v>
      </c>
      <c r="C66" s="733">
        <v>289</v>
      </c>
      <c r="D66" s="734">
        <v>1.2044978383458649</v>
      </c>
      <c r="E66" s="735">
        <v>0.58791165916055843</v>
      </c>
      <c r="F66" s="735">
        <v>0.15010181177037873</v>
      </c>
      <c r="G66" s="734">
        <v>0.80317790640355202</v>
      </c>
      <c r="H66" s="735">
        <v>9.9814206904129288E-2</v>
      </c>
      <c r="I66" s="734">
        <v>0.8922357057439283</v>
      </c>
    </row>
    <row r="67" spans="1:9">
      <c r="A67" s="64">
        <v>66</v>
      </c>
      <c r="B67" s="732" t="s">
        <v>634</v>
      </c>
      <c r="C67" s="733">
        <v>272</v>
      </c>
      <c r="D67" s="734">
        <v>0.94701648700063423</v>
      </c>
      <c r="E67" s="735">
        <v>0.84109620432035126</v>
      </c>
      <c r="F67" s="735">
        <v>0.11663853705496656</v>
      </c>
      <c r="G67" s="734">
        <v>0.54332808262156929</v>
      </c>
      <c r="H67" s="735">
        <v>7.0156983212411456E-2</v>
      </c>
      <c r="I67" s="734">
        <v>0.58432237787691643</v>
      </c>
    </row>
    <row r="68" spans="1:9">
      <c r="A68" s="64">
        <v>67</v>
      </c>
      <c r="B68" s="732" t="s">
        <v>635</v>
      </c>
      <c r="C68" s="733">
        <v>113</v>
      </c>
      <c r="D68" s="734">
        <v>1.2575160401002514</v>
      </c>
      <c r="E68" s="735">
        <v>0.151781564260487</v>
      </c>
      <c r="F68" s="735">
        <v>0.15259364990238794</v>
      </c>
      <c r="G68" s="734">
        <v>1.1142061129381799</v>
      </c>
      <c r="H68" s="735">
        <v>7.8916793864732313E-2</v>
      </c>
      <c r="I68" s="734">
        <v>1.2096693387921251</v>
      </c>
    </row>
    <row r="69" spans="1:9">
      <c r="A69" s="64">
        <v>68</v>
      </c>
      <c r="B69" s="732" t="s">
        <v>636</v>
      </c>
      <c r="C69" s="733">
        <v>30</v>
      </c>
      <c r="D69" s="734">
        <v>1.0704434697855751</v>
      </c>
      <c r="E69" s="735">
        <v>0.17004867839692331</v>
      </c>
      <c r="F69" s="735">
        <v>0.13230640107883057</v>
      </c>
      <c r="G69" s="734">
        <v>0.93280757273986081</v>
      </c>
      <c r="H69" s="735">
        <v>0.11835153147079024</v>
      </c>
      <c r="I69" s="734">
        <v>1.058026646715551</v>
      </c>
    </row>
    <row r="70" spans="1:9">
      <c r="A70" s="64">
        <v>69</v>
      </c>
      <c r="B70" s="732" t="s">
        <v>873</v>
      </c>
      <c r="C70" s="733">
        <v>79</v>
      </c>
      <c r="D70" s="734">
        <v>1.2449619487908961</v>
      </c>
      <c r="E70" s="735">
        <v>0.24913893033957385</v>
      </c>
      <c r="F70" s="735">
        <v>0.15032439032501141</v>
      </c>
      <c r="G70" s="734">
        <v>1.0274614391148678</v>
      </c>
      <c r="H70" s="735">
        <v>7.4732258871610849E-2</v>
      </c>
      <c r="I70" s="734">
        <v>1.1104477044253704</v>
      </c>
    </row>
    <row r="71" spans="1:9">
      <c r="A71" s="64">
        <v>70</v>
      </c>
      <c r="B71" s="732" t="s">
        <v>637</v>
      </c>
      <c r="C71" s="733">
        <v>75</v>
      </c>
      <c r="D71" s="734">
        <v>1.1030091533180779</v>
      </c>
      <c r="E71" s="735">
        <v>0.72881906934682283</v>
      </c>
      <c r="F71" s="735">
        <v>0.19093036261146593</v>
      </c>
      <c r="G71" s="734">
        <v>0.69386247388003852</v>
      </c>
      <c r="H71" s="735">
        <v>0.13789717773129412</v>
      </c>
      <c r="I71" s="734">
        <v>0.80484886020216606</v>
      </c>
    </row>
    <row r="72" spans="1:9">
      <c r="A72" s="64">
        <v>71</v>
      </c>
      <c r="B72" s="732" t="s">
        <v>638</v>
      </c>
      <c r="C72" s="733">
        <v>13</v>
      </c>
      <c r="D72" s="734">
        <v>1.4201710526315787</v>
      </c>
      <c r="E72" s="735">
        <v>0.26353688928375979</v>
      </c>
      <c r="F72" s="735">
        <v>0.17052767375771602</v>
      </c>
      <c r="G72" s="734">
        <v>1.1654152844386267</v>
      </c>
      <c r="H72" s="735">
        <v>6.7218425411480487E-2</v>
      </c>
      <c r="I72" s="734">
        <v>1.2493978399527559</v>
      </c>
    </row>
    <row r="73" spans="1:9">
      <c r="A73" s="64">
        <v>72</v>
      </c>
      <c r="B73" s="732" t="s">
        <v>639</v>
      </c>
      <c r="C73" s="733">
        <v>467</v>
      </c>
      <c r="D73" s="734">
        <v>1.0234916768665849</v>
      </c>
      <c r="E73" s="735">
        <v>0.52615376329976482</v>
      </c>
      <c r="F73" s="735">
        <v>0.14911126087653323</v>
      </c>
      <c r="G73" s="734">
        <v>0.70697856605463316</v>
      </c>
      <c r="H73" s="735">
        <v>9.8091532246168261E-2</v>
      </c>
      <c r="I73" s="734">
        <v>0.78386952926091935</v>
      </c>
    </row>
    <row r="74" spans="1:9">
      <c r="A74" s="64">
        <v>73</v>
      </c>
      <c r="B74" s="732" t="s">
        <v>640</v>
      </c>
      <c r="C74" s="733">
        <v>137</v>
      </c>
      <c r="D74" s="734">
        <v>1.231668695993716</v>
      </c>
      <c r="E74" s="735">
        <v>0.38581100398707158</v>
      </c>
      <c r="F74" s="735">
        <v>0.24395378589228564</v>
      </c>
      <c r="G74" s="734">
        <v>0.95353203257967045</v>
      </c>
      <c r="H74" s="735">
        <v>7.4589012425222173E-2</v>
      </c>
      <c r="I74" s="734">
        <v>1.0303876281808468</v>
      </c>
    </row>
    <row r="75" spans="1:9">
      <c r="A75" s="64">
        <v>74</v>
      </c>
      <c r="B75" s="732" t="s">
        <v>641</v>
      </c>
      <c r="C75" s="733">
        <v>61</v>
      </c>
      <c r="D75" s="734">
        <v>0.87146315789473705</v>
      </c>
      <c r="E75" s="735">
        <v>0.37919460725490345</v>
      </c>
      <c r="F75" s="735">
        <v>0.19615535187206201</v>
      </c>
      <c r="G75" s="734">
        <v>0.667883280432918</v>
      </c>
      <c r="H75" s="735">
        <v>5.0595953077072181E-2</v>
      </c>
      <c r="I75" s="734">
        <v>0.70347633612640004</v>
      </c>
    </row>
    <row r="76" spans="1:9">
      <c r="A76" s="64">
        <v>75</v>
      </c>
      <c r="B76" s="732" t="s">
        <v>874</v>
      </c>
      <c r="C76" s="733">
        <v>15</v>
      </c>
      <c r="D76" s="734">
        <v>1.6830607287449395</v>
      </c>
      <c r="E76" s="735">
        <v>0.20179831401187492</v>
      </c>
      <c r="F76" s="735">
        <v>0.12504746665374578</v>
      </c>
      <c r="G76" s="734">
        <v>1.4304881042523843</v>
      </c>
      <c r="H76" s="735">
        <v>6.4597824456754147E-2</v>
      </c>
      <c r="I76" s="734">
        <v>1.5292760073191098</v>
      </c>
    </row>
    <row r="77" spans="1:9">
      <c r="A77" s="64">
        <v>76</v>
      </c>
      <c r="B77" s="732" t="s">
        <v>642</v>
      </c>
      <c r="C77" s="733">
        <v>166</v>
      </c>
      <c r="D77" s="734">
        <v>1.2536267942583728</v>
      </c>
      <c r="E77" s="735">
        <v>0.26076566715107369</v>
      </c>
      <c r="F77" s="735">
        <v>0.18518431067118946</v>
      </c>
      <c r="G77" s="734">
        <v>1.0339395079906328</v>
      </c>
      <c r="H77" s="735">
        <v>9.9324322628667985E-2</v>
      </c>
      <c r="I77" s="734">
        <v>1.1479598416693544</v>
      </c>
    </row>
    <row r="78" spans="1:9">
      <c r="A78" s="64">
        <v>77</v>
      </c>
      <c r="B78" s="732" t="s">
        <v>643</v>
      </c>
      <c r="C78" s="733">
        <v>68</v>
      </c>
      <c r="D78" s="734">
        <v>1.0289269949066215</v>
      </c>
      <c r="E78" s="735">
        <v>0.4045891932964184</v>
      </c>
      <c r="F78" s="735">
        <v>0.16086688971918539</v>
      </c>
      <c r="G78" s="734">
        <v>0.76814018500564385</v>
      </c>
      <c r="H78" s="735">
        <v>8.3217665368433225E-2</v>
      </c>
      <c r="I78" s="734">
        <v>0.83786538635077568</v>
      </c>
    </row>
    <row r="79" spans="1:9">
      <c r="A79" s="64">
        <v>78</v>
      </c>
      <c r="B79" s="732" t="s">
        <v>644</v>
      </c>
      <c r="C79" s="733">
        <v>393</v>
      </c>
      <c r="D79" s="734">
        <v>1.5290011441647606</v>
      </c>
      <c r="E79" s="735">
        <v>0.14532837818849786</v>
      </c>
      <c r="F79" s="735">
        <v>0.1162861432189225</v>
      </c>
      <c r="G79" s="734">
        <v>1.3549825008989089</v>
      </c>
      <c r="H79" s="735">
        <v>0.11688960874350458</v>
      </c>
      <c r="I79" s="734">
        <v>1.5343296991116033</v>
      </c>
    </row>
    <row r="80" spans="1:9">
      <c r="A80" s="64">
        <v>79</v>
      </c>
      <c r="B80" s="732" t="s">
        <v>645</v>
      </c>
      <c r="C80" s="733">
        <v>153</v>
      </c>
      <c r="D80" s="734">
        <v>1.6066210526315796</v>
      </c>
      <c r="E80" s="735">
        <v>0.28478015459190603</v>
      </c>
      <c r="F80" s="735">
        <v>0.11799411115293748</v>
      </c>
      <c r="G80" s="734">
        <v>1.2840869513653732</v>
      </c>
      <c r="H80" s="735">
        <v>7.8389278103239091E-2</v>
      </c>
      <c r="I80" s="734">
        <v>1.393307305195628</v>
      </c>
    </row>
    <row r="81" spans="1:9">
      <c r="A81" s="64">
        <v>80</v>
      </c>
      <c r="B81" s="732" t="s">
        <v>646</v>
      </c>
      <c r="C81" s="733">
        <v>224</v>
      </c>
      <c r="D81" s="734">
        <v>1.166720977083858</v>
      </c>
      <c r="E81" s="735">
        <v>0.70745142091965552</v>
      </c>
      <c r="F81" s="735">
        <v>0.11381611870757917</v>
      </c>
      <c r="G81" s="734">
        <v>0.71712950761563876</v>
      </c>
      <c r="H81" s="735">
        <v>0.10962905030909265</v>
      </c>
      <c r="I81" s="734">
        <v>0.80542779148914345</v>
      </c>
    </row>
    <row r="82" spans="1:9">
      <c r="A82" s="64">
        <v>81</v>
      </c>
      <c r="B82" s="732" t="s">
        <v>647</v>
      </c>
      <c r="C82" s="733">
        <v>61</v>
      </c>
      <c r="D82" s="734">
        <v>0.91796877787689535</v>
      </c>
      <c r="E82" s="735">
        <v>0.14232042740556539</v>
      </c>
      <c r="F82" s="735">
        <v>0.18782949369489924</v>
      </c>
      <c r="G82" s="734">
        <v>0.82285611233081568</v>
      </c>
      <c r="H82" s="735">
        <v>8.2937833085367854E-2</v>
      </c>
      <c r="I82" s="734">
        <v>0.89727408022864608</v>
      </c>
    </row>
    <row r="83" spans="1:9">
      <c r="A83" s="64">
        <v>82</v>
      </c>
      <c r="B83" s="732" t="s">
        <v>875</v>
      </c>
      <c r="C83" s="733">
        <v>50</v>
      </c>
      <c r="D83" s="734">
        <v>1.4226710526315791</v>
      </c>
      <c r="E83" s="735">
        <v>4.0094049726862271E-2</v>
      </c>
      <c r="F83" s="735">
        <v>0.10515880350621037</v>
      </c>
      <c r="G83" s="734">
        <v>1.3733965941034987</v>
      </c>
      <c r="H83" s="735">
        <v>0.11101078539260452</v>
      </c>
      <c r="I83" s="734">
        <v>1.5448968013746176</v>
      </c>
    </row>
    <row r="84" spans="1:9">
      <c r="A84" s="64">
        <v>83</v>
      </c>
      <c r="B84" s="732" t="s">
        <v>876</v>
      </c>
      <c r="C84" s="733">
        <v>140</v>
      </c>
      <c r="D84" s="734">
        <v>1.5668183157894742</v>
      </c>
      <c r="E84" s="735">
        <v>4.423159637664352E-2</v>
      </c>
      <c r="F84" s="735">
        <v>0.11986805645046335</v>
      </c>
      <c r="G84" s="734">
        <v>1.5081082049544619</v>
      </c>
      <c r="H84" s="735">
        <v>4.4144444335992072E-2</v>
      </c>
      <c r="I84" s="734">
        <v>1.5777574299987391</v>
      </c>
    </row>
    <row r="85" spans="1:9">
      <c r="A85" s="64">
        <v>84</v>
      </c>
      <c r="B85" s="732" t="s">
        <v>877</v>
      </c>
      <c r="C85" s="733">
        <v>286</v>
      </c>
      <c r="D85" s="734">
        <v>1.3715223531802485</v>
      </c>
      <c r="E85" s="735">
        <v>2.3371486129172156E-2</v>
      </c>
      <c r="F85" s="735">
        <v>0.11419459206242141</v>
      </c>
      <c r="G85" s="734">
        <v>1.3437041977000364</v>
      </c>
      <c r="H85" s="735">
        <v>3.809668547206229E-2</v>
      </c>
      <c r="I85" s="734">
        <v>1.3969223074768908</v>
      </c>
    </row>
    <row r="86" spans="1:9">
      <c r="A86" s="64">
        <v>85</v>
      </c>
      <c r="B86" s="732" t="s">
        <v>648</v>
      </c>
      <c r="C86" s="733">
        <v>514</v>
      </c>
      <c r="D86" s="734">
        <v>1.2688113402061854</v>
      </c>
      <c r="E86" s="735">
        <v>1.061729546422538</v>
      </c>
      <c r="F86" s="735">
        <v>0.11251415912372718</v>
      </c>
      <c r="G86" s="734">
        <v>0.65326210046272359</v>
      </c>
      <c r="H86" s="735">
        <v>9.1101227766809414E-2</v>
      </c>
      <c r="I86" s="734">
        <v>0.71874021664441212</v>
      </c>
    </row>
    <row r="87" spans="1:9">
      <c r="A87" s="64">
        <v>86</v>
      </c>
      <c r="B87" s="732" t="s">
        <v>649</v>
      </c>
      <c r="C87" s="733">
        <v>62</v>
      </c>
      <c r="D87" s="734">
        <v>1.0480349439171701</v>
      </c>
      <c r="E87" s="735">
        <v>0.35422447185319067</v>
      </c>
      <c r="F87" s="735">
        <v>0.16717812350817918</v>
      </c>
      <c r="G87" s="734">
        <v>0.80928971253153703</v>
      </c>
      <c r="H87" s="735">
        <v>6.2658588478144567E-2</v>
      </c>
      <c r="I87" s="734">
        <v>0.8633884117181857</v>
      </c>
    </row>
    <row r="88" spans="1:9">
      <c r="A88" s="64">
        <v>87</v>
      </c>
      <c r="B88" s="732" t="s">
        <v>650</v>
      </c>
      <c r="C88" s="733">
        <v>260</v>
      </c>
      <c r="D88" s="734">
        <v>1.3345474333983105</v>
      </c>
      <c r="E88" s="735">
        <v>0.10188550215035294</v>
      </c>
      <c r="F88" s="735">
        <v>0.10867539331696265</v>
      </c>
      <c r="G88" s="734">
        <v>1.2234428503775123</v>
      </c>
      <c r="H88" s="735">
        <v>7.4466598446780885E-2</v>
      </c>
      <c r="I88" s="734">
        <v>1.3218786575658374</v>
      </c>
    </row>
    <row r="89" spans="1:9">
      <c r="A89" s="64">
        <v>88</v>
      </c>
      <c r="B89" s="732" t="s">
        <v>651</v>
      </c>
      <c r="C89" s="733">
        <v>114</v>
      </c>
      <c r="D89" s="734">
        <v>0.87522431077694229</v>
      </c>
      <c r="E89" s="735">
        <v>0.36525312131015658</v>
      </c>
      <c r="F89" s="735">
        <v>0.14725037125057258</v>
      </c>
      <c r="G89" s="734">
        <v>0.66736156278970649</v>
      </c>
      <c r="H89" s="735">
        <v>6.4237596508585404E-2</v>
      </c>
      <c r="I89" s="734">
        <v>0.71317415649498184</v>
      </c>
    </row>
    <row r="90" spans="1:9">
      <c r="A90" s="64">
        <v>89</v>
      </c>
      <c r="B90" s="732" t="s">
        <v>652</v>
      </c>
      <c r="C90" s="733">
        <v>34</v>
      </c>
      <c r="D90" s="734">
        <v>0.44857894736842108</v>
      </c>
      <c r="E90" s="735">
        <v>2.9242943741087882E-2</v>
      </c>
      <c r="F90" s="735">
        <v>0.17970539080867631</v>
      </c>
      <c r="G90" s="734">
        <v>0.43807058503743312</v>
      </c>
      <c r="H90" s="735">
        <v>1.6311790729505986E-2</v>
      </c>
      <c r="I90" s="734">
        <v>0.44533479298517514</v>
      </c>
    </row>
    <row r="91" spans="1:9">
      <c r="A91" s="64">
        <v>90</v>
      </c>
      <c r="B91" s="732" t="s">
        <v>878</v>
      </c>
      <c r="C91" s="733">
        <v>140</v>
      </c>
      <c r="D91" s="734">
        <v>1.1667172064777327</v>
      </c>
      <c r="E91" s="735">
        <v>0.62875552583921879</v>
      </c>
      <c r="F91" s="735">
        <v>0.18380340164237097</v>
      </c>
      <c r="G91" s="734">
        <v>0.77103249092857606</v>
      </c>
      <c r="H91" s="735">
        <v>9.1951181867580459E-2</v>
      </c>
      <c r="I91" s="734">
        <v>0.84910907379886857</v>
      </c>
    </row>
    <row r="92" spans="1:9">
      <c r="A92" s="64">
        <v>91</v>
      </c>
      <c r="B92" s="732" t="s">
        <v>879</v>
      </c>
      <c r="C92" s="733">
        <v>12</v>
      </c>
      <c r="D92" s="734">
        <v>1.4512751196172251</v>
      </c>
      <c r="E92" s="735">
        <v>0.15441007520850064</v>
      </c>
      <c r="F92" s="735">
        <v>0.24461411478904324</v>
      </c>
      <c r="G92" s="734">
        <v>1.2996813392038762</v>
      </c>
      <c r="H92" s="735">
        <v>4.8105583715751146E-2</v>
      </c>
      <c r="I92" s="734">
        <v>1.3653629194267416</v>
      </c>
    </row>
    <row r="93" spans="1:9">
      <c r="A93" s="64">
        <v>92</v>
      </c>
      <c r="B93" s="732" t="s">
        <v>653</v>
      </c>
      <c r="C93" s="733">
        <v>93</v>
      </c>
      <c r="D93" s="734">
        <v>1.000826379974326</v>
      </c>
      <c r="E93" s="735">
        <v>0.37953492865300814</v>
      </c>
      <c r="F93" s="735">
        <v>0.17228362564659322</v>
      </c>
      <c r="G93" s="734">
        <v>0.76157855283722287</v>
      </c>
      <c r="H93" s="735">
        <v>7.8152634799196402E-2</v>
      </c>
      <c r="I93" s="734">
        <v>0.82614387325534122</v>
      </c>
    </row>
    <row r="94" spans="1:9">
      <c r="A94" s="64">
        <v>93</v>
      </c>
      <c r="B94" s="732" t="s">
        <v>880</v>
      </c>
      <c r="C94" s="733">
        <v>25</v>
      </c>
      <c r="D94" s="734">
        <v>0.92335380116959065</v>
      </c>
      <c r="E94" s="735">
        <v>9.0037119535481713E-2</v>
      </c>
      <c r="F94" s="735">
        <v>2.023529411764706E-2</v>
      </c>
      <c r="G94" s="734">
        <v>0.84850295052704239</v>
      </c>
      <c r="H94" s="735">
        <v>3.6584314889850832E-2</v>
      </c>
      <c r="I94" s="734">
        <v>0.88072362080136923</v>
      </c>
    </row>
    <row r="95" spans="1:9">
      <c r="A95" s="64">
        <v>94</v>
      </c>
      <c r="B95" s="732" t="s">
        <v>654</v>
      </c>
      <c r="C95" s="733">
        <v>12</v>
      </c>
      <c r="D95" s="734">
        <v>0.83272807017543871</v>
      </c>
      <c r="E95" s="735">
        <v>2.2612947906752274</v>
      </c>
      <c r="F95" s="735">
        <v>0.12473273581163853</v>
      </c>
      <c r="G95" s="734">
        <v>0.27951048705979537</v>
      </c>
      <c r="H95" s="735">
        <v>8.6625840290583678E-2</v>
      </c>
      <c r="I95" s="734">
        <v>0.30601970078584195</v>
      </c>
    </row>
    <row r="96" spans="1:9">
      <c r="A96" s="64">
        <v>95</v>
      </c>
      <c r="B96" s="732" t="s">
        <v>655</v>
      </c>
      <c r="C96" s="733">
        <v>59</v>
      </c>
      <c r="D96" s="734">
        <v>1.1758075048732937</v>
      </c>
      <c r="E96" s="735">
        <v>0.35131171892280677</v>
      </c>
      <c r="F96" s="735">
        <v>0.18103758773622622</v>
      </c>
      <c r="G96" s="734">
        <v>0.91309883984132412</v>
      </c>
      <c r="H96" s="735">
        <v>7.3344262430203436E-2</v>
      </c>
      <c r="I96" s="734">
        <v>0.98537008170474816</v>
      </c>
    </row>
    <row r="97" spans="1:9">
      <c r="A97" s="64">
        <v>96</v>
      </c>
      <c r="B97" s="736" t="s">
        <v>656</v>
      </c>
      <c r="C97" s="737">
        <v>19896</v>
      </c>
      <c r="D97" s="738">
        <v>1.1286806416490003</v>
      </c>
      <c r="E97" s="739">
        <v>0.55390649481194099</v>
      </c>
      <c r="F97" s="739">
        <v>0.1442952577335215</v>
      </c>
      <c r="G97" s="738">
        <v>0.76573652582868801</v>
      </c>
      <c r="H97" s="739">
        <v>0.12960314122601163</v>
      </c>
      <c r="I97" s="738">
        <v>0.87975561734825036</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13"/>
  <sheetViews>
    <sheetView workbookViewId="0">
      <selection activeCell="D9" sqref="D9"/>
    </sheetView>
  </sheetViews>
  <sheetFormatPr baseColWidth="10" defaultRowHeight="15"/>
  <cols>
    <col min="1" max="1" width="48.7109375" style="64" bestFit="1" customWidth="1"/>
    <col min="2" max="2" width="15.42578125" style="64" bestFit="1" customWidth="1"/>
    <col min="3" max="16384" width="11.42578125" style="64"/>
  </cols>
  <sheetData>
    <row r="1" spans="1:3" ht="31.5">
      <c r="A1" s="835" t="s">
        <v>1196</v>
      </c>
      <c r="B1" s="17"/>
      <c r="C1" s="17"/>
    </row>
    <row r="3" spans="1:3" ht="18.75">
      <c r="A3" s="1124" t="s">
        <v>5</v>
      </c>
      <c r="B3" s="1125">
        <f>+'Estados Financieros'!I11</f>
        <v>13212.540000000003</v>
      </c>
    </row>
    <row r="4" spans="1:3" ht="18.75">
      <c r="A4" s="1124" t="s">
        <v>1197</v>
      </c>
      <c r="B4" s="1126">
        <v>0.6</v>
      </c>
    </row>
    <row r="5" spans="1:3" ht="18.75">
      <c r="A5" s="1124" t="s">
        <v>1198</v>
      </c>
      <c r="B5" s="1126">
        <f>100%-B4</f>
        <v>0.4</v>
      </c>
    </row>
    <row r="6" spans="1:3" ht="18.75">
      <c r="A6" s="1124" t="s">
        <v>431</v>
      </c>
      <c r="B6" s="1127">
        <f>+WACC!B11</f>
        <v>7.4303476813464595E-2</v>
      </c>
    </row>
    <row r="7" spans="1:3" ht="18.75">
      <c r="A7" s="1124" t="s">
        <v>1199</v>
      </c>
      <c r="B7" s="1128">
        <f>+B3*B4</f>
        <v>7927.5240000000013</v>
      </c>
    </row>
    <row r="8" spans="1:3" ht="18.75">
      <c r="A8" s="1124" t="s">
        <v>1200</v>
      </c>
      <c r="B8" s="1128">
        <f>+B3-B7</f>
        <v>5285.0160000000014</v>
      </c>
    </row>
    <row r="9" spans="1:3" ht="18.75">
      <c r="A9" s="1124"/>
      <c r="B9" s="1126"/>
    </row>
    <row r="10" spans="1:3" ht="18.75">
      <c r="A10" s="1124" t="s">
        <v>1201</v>
      </c>
      <c r="B10" s="1128">
        <f>+B3/B6</f>
        <v>177818.59701087026</v>
      </c>
    </row>
    <row r="11" spans="1:3" ht="18.75">
      <c r="A11" s="1124" t="s">
        <v>1202</v>
      </c>
      <c r="B11" s="1128">
        <f>+B7/B6</f>
        <v>106691.15820652214</v>
      </c>
    </row>
    <row r="12" spans="1:3" ht="18.75">
      <c r="A12" s="1124" t="s">
        <v>1203</v>
      </c>
      <c r="B12" s="1129">
        <f>+B11/B3</f>
        <v>8.0749922578491429</v>
      </c>
      <c r="C12" s="64" t="s">
        <v>1204</v>
      </c>
    </row>
    <row r="13" spans="1:3" ht="18.75">
      <c r="A13" s="1124" t="s">
        <v>1205</v>
      </c>
      <c r="B13" s="1125">
        <v>0</v>
      </c>
    </row>
  </sheetData>
  <pageMargins left="0.7" right="0.7" top="0.75" bottom="0.75" header="0.3" footer="0.3"/>
  <legacy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workbookViewId="0">
      <selection sqref="A1:J1"/>
    </sheetView>
  </sheetViews>
  <sheetFormatPr baseColWidth="10" defaultRowHeight="15"/>
  <cols>
    <col min="1" max="1" width="27.85546875" style="64" bestFit="1" customWidth="1"/>
    <col min="2" max="2" width="12.5703125" style="64" bestFit="1" customWidth="1"/>
    <col min="3" max="4" width="11.42578125" style="64"/>
    <col min="5" max="10" width="12" style="64" bestFit="1" customWidth="1"/>
    <col min="11" max="16384" width="11.42578125" style="64"/>
  </cols>
  <sheetData>
    <row r="1" spans="1:10">
      <c r="A1" s="1641" t="s">
        <v>1206</v>
      </c>
      <c r="B1" s="1641"/>
      <c r="C1" s="1641"/>
      <c r="D1" s="1641"/>
      <c r="E1" s="1641"/>
      <c r="F1" s="1641"/>
      <c r="G1" s="1641"/>
      <c r="H1" s="1641"/>
      <c r="I1" s="1641"/>
      <c r="J1" s="1641"/>
    </row>
    <row r="2" spans="1:10">
      <c r="A2" s="1130" t="s">
        <v>431</v>
      </c>
      <c r="B2" s="1131">
        <f>+WACC!B11</f>
        <v>7.4303476813464595E-2</v>
      </c>
    </row>
    <row r="3" spans="1:10">
      <c r="A3" s="1130" t="s">
        <v>1207</v>
      </c>
      <c r="B3" s="1132">
        <v>0.05</v>
      </c>
    </row>
    <row r="4" spans="1:10">
      <c r="A4" s="1133"/>
      <c r="B4" s="1132"/>
    </row>
    <row r="5" spans="1:10">
      <c r="B5" s="493">
        <v>9</v>
      </c>
      <c r="C5" s="493">
        <v>8</v>
      </c>
      <c r="D5" s="493">
        <v>7</v>
      </c>
      <c r="E5" s="493">
        <v>6</v>
      </c>
      <c r="F5" s="493">
        <v>5</v>
      </c>
      <c r="G5" s="493">
        <v>4</v>
      </c>
      <c r="H5" s="493">
        <v>3</v>
      </c>
      <c r="I5" s="493">
        <v>2</v>
      </c>
      <c r="J5" s="493">
        <v>1</v>
      </c>
    </row>
    <row r="6" spans="1:10">
      <c r="A6" s="493"/>
      <c r="B6" s="1130"/>
      <c r="C6" s="1130">
        <v>2007</v>
      </c>
      <c r="D6" s="1130">
        <v>2008</v>
      </c>
      <c r="E6" s="1130">
        <v>2009</v>
      </c>
      <c r="F6" s="1130">
        <v>2010</v>
      </c>
      <c r="G6" s="1130">
        <v>2011</v>
      </c>
      <c r="H6" s="1130">
        <v>2012</v>
      </c>
      <c r="I6" s="1130">
        <v>2013</v>
      </c>
      <c r="J6" s="1130">
        <v>2014</v>
      </c>
    </row>
    <row r="7" spans="1:10">
      <c r="A7" s="1130" t="s">
        <v>1208</v>
      </c>
      <c r="B7" s="1134">
        <f>+'Anexo 1 - Balance'!B48</f>
        <v>0</v>
      </c>
      <c r="C7" s="1134">
        <f>+'Anexo 1 - Balance'!C48</f>
        <v>0</v>
      </c>
      <c r="D7" s="1134">
        <f>+'Anexo 1 - Balance'!D48</f>
        <v>0</v>
      </c>
      <c r="E7" s="1134">
        <f>+'Anexo 1 - Balance'!E48</f>
        <v>0</v>
      </c>
      <c r="F7" s="1134">
        <f>+'Anexo 1 - Balance'!F48</f>
        <v>0</v>
      </c>
      <c r="G7" s="1134">
        <f>+'Anexo 1 - Balance'!G48</f>
        <v>0</v>
      </c>
      <c r="H7" s="1134">
        <f>+'Anexo 1 - Balance'!H48</f>
        <v>0</v>
      </c>
      <c r="I7" s="1134">
        <f>+'Anexo 1 - Balance'!I48</f>
        <v>0</v>
      </c>
      <c r="J7" s="1134">
        <f>+'Anexo 1 - Balance'!J48</f>
        <v>0</v>
      </c>
    </row>
    <row r="8" spans="1:10">
      <c r="A8" s="1130" t="s">
        <v>1209</v>
      </c>
      <c r="B8" s="1135">
        <f>+'Anexo 1 - Balance'!B48/'Anexo 2 - ER'!B6*365</f>
        <v>0</v>
      </c>
      <c r="C8" s="1135">
        <f>+'Anexo 1 - Balance'!C48/'Anexo 2 - ER'!C6*365</f>
        <v>0</v>
      </c>
      <c r="D8" s="1135">
        <f>+'Anexo 1 - Balance'!D48/'Anexo 2 - ER'!D6*365</f>
        <v>0</v>
      </c>
      <c r="E8" s="1135">
        <f>+'Anexo 1 - Balance'!E48/'Anexo 2 - ER'!E6*365</f>
        <v>0</v>
      </c>
      <c r="F8" s="1135">
        <f>+'Anexo 1 - Balance'!F48/'Anexo 2 - ER'!F6*365</f>
        <v>0</v>
      </c>
      <c r="G8" s="1135">
        <f>+'Anexo 1 - Balance'!G48/'Anexo 2 - ER'!G6*365</f>
        <v>0</v>
      </c>
      <c r="H8" s="1135">
        <f>+'Anexo 1 - Balance'!H48/'Anexo 2 - ER'!H6*365</f>
        <v>0</v>
      </c>
      <c r="I8" s="1135">
        <f>+'Anexo 1 - Balance'!I48/'Anexo 2 - ER'!I6*365</f>
        <v>0</v>
      </c>
      <c r="J8" s="1135">
        <f>+'Anexo 1 - Balance'!J48/'Anexo 2 - ER'!J6*365</f>
        <v>0</v>
      </c>
    </row>
    <row r="9" spans="1:10">
      <c r="A9" s="1130" t="s">
        <v>1210</v>
      </c>
      <c r="B9" s="1136">
        <f>IFERROR(365/B8,0)</f>
        <v>0</v>
      </c>
      <c r="C9" s="1136">
        <f t="shared" ref="C9:J9" si="0">IFERROR(365/C8,0)</f>
        <v>0</v>
      </c>
      <c r="D9" s="1136">
        <f t="shared" si="0"/>
        <v>0</v>
      </c>
      <c r="E9" s="1136">
        <f t="shared" si="0"/>
        <v>0</v>
      </c>
      <c r="F9" s="1136">
        <f t="shared" si="0"/>
        <v>0</v>
      </c>
      <c r="G9" s="1136">
        <f t="shared" si="0"/>
        <v>0</v>
      </c>
      <c r="H9" s="1136">
        <f t="shared" si="0"/>
        <v>0</v>
      </c>
      <c r="I9" s="1136">
        <f t="shared" si="0"/>
        <v>0</v>
      </c>
      <c r="J9" s="1136">
        <f t="shared" si="0"/>
        <v>0</v>
      </c>
    </row>
    <row r="10" spans="1:10">
      <c r="A10" s="1137" t="s">
        <v>1211</v>
      </c>
      <c r="B10" s="1138">
        <f>+IFERROR((1+$B$2)^(1/(365/B8))-1,0)</f>
        <v>0</v>
      </c>
      <c r="C10" s="1138">
        <f t="shared" ref="C10:J10" si="1">+IFERROR((1+$B$2)^(1/(365/C8))-1,0)</f>
        <v>0</v>
      </c>
      <c r="D10" s="1138">
        <f t="shared" si="1"/>
        <v>0</v>
      </c>
      <c r="E10" s="1138">
        <f t="shared" si="1"/>
        <v>0</v>
      </c>
      <c r="F10" s="1138">
        <f t="shared" si="1"/>
        <v>0</v>
      </c>
      <c r="G10" s="1138">
        <f t="shared" si="1"/>
        <v>0</v>
      </c>
      <c r="H10" s="1138">
        <f t="shared" si="1"/>
        <v>0</v>
      </c>
      <c r="I10" s="1138">
        <f t="shared" si="1"/>
        <v>0</v>
      </c>
      <c r="J10" s="1138">
        <f t="shared" si="1"/>
        <v>0</v>
      </c>
    </row>
    <row r="11" spans="1:10">
      <c r="A11" s="1137" t="s">
        <v>1211</v>
      </c>
      <c r="B11" s="1138">
        <f>+IFERROR((1+$B$2)^(1/B9)-1,0)</f>
        <v>0</v>
      </c>
      <c r="C11" s="1138">
        <f t="shared" ref="C11:J11" si="2">+IFERROR((1+$B$2)^(1/C9)-1,0)</f>
        <v>0</v>
      </c>
      <c r="D11" s="1138">
        <f t="shared" si="2"/>
        <v>0</v>
      </c>
      <c r="E11" s="1138">
        <f t="shared" si="2"/>
        <v>0</v>
      </c>
      <c r="F11" s="1138">
        <f t="shared" si="2"/>
        <v>0</v>
      </c>
      <c r="G11" s="1138">
        <f t="shared" si="2"/>
        <v>0</v>
      </c>
      <c r="H11" s="1138">
        <f t="shared" si="2"/>
        <v>0</v>
      </c>
      <c r="I11" s="1138">
        <f t="shared" si="2"/>
        <v>0</v>
      </c>
      <c r="J11" s="1138">
        <f t="shared" si="2"/>
        <v>0</v>
      </c>
    </row>
    <row r="12" spans="1:10">
      <c r="A12" s="1137" t="s">
        <v>1212</v>
      </c>
      <c r="B12" s="1139">
        <f>+B7*B11</f>
        <v>0</v>
      </c>
      <c r="C12" s="1139">
        <f t="shared" ref="C12:J12" si="3">+C7*C11</f>
        <v>0</v>
      </c>
      <c r="D12" s="1139">
        <f t="shared" si="3"/>
        <v>0</v>
      </c>
      <c r="E12" s="1139">
        <f t="shared" si="3"/>
        <v>0</v>
      </c>
      <c r="F12" s="1139">
        <f t="shared" si="3"/>
        <v>0</v>
      </c>
      <c r="G12" s="1139">
        <f t="shared" si="3"/>
        <v>0</v>
      </c>
      <c r="H12" s="1139">
        <f t="shared" si="3"/>
        <v>0</v>
      </c>
      <c r="I12" s="1139">
        <f t="shared" si="3"/>
        <v>0</v>
      </c>
      <c r="J12" s="1139">
        <f t="shared" si="3"/>
        <v>0</v>
      </c>
    </row>
    <row r="13" spans="1:10">
      <c r="A13" s="1140" t="s">
        <v>1213</v>
      </c>
      <c r="B13" s="1141">
        <f>SUM(B12:J12)</f>
        <v>0</v>
      </c>
      <c r="C13" s="1142"/>
      <c r="D13" s="1142"/>
      <c r="E13" s="1142"/>
      <c r="F13" s="1142"/>
      <c r="G13" s="1142"/>
      <c r="H13" s="1142"/>
      <c r="I13" s="1142"/>
      <c r="J13" s="1142"/>
    </row>
    <row r="14" spans="1:10">
      <c r="B14" s="1142"/>
      <c r="C14" s="1142"/>
      <c r="D14" s="1142"/>
      <c r="E14" s="1142"/>
      <c r="F14" s="1142"/>
      <c r="G14" s="1142"/>
      <c r="H14" s="1142"/>
      <c r="I14" s="1142"/>
      <c r="J14" s="1142"/>
    </row>
    <row r="15" spans="1:10">
      <c r="A15" s="1143" t="s">
        <v>1214</v>
      </c>
      <c r="B15" s="1144">
        <f>+B12*(1+$B$3)^(B5)</f>
        <v>0</v>
      </c>
      <c r="C15" s="1144">
        <f t="shared" ref="C15:J15" si="4">+C12*(1+$B$3)^(C5)</f>
        <v>0</v>
      </c>
      <c r="D15" s="1144">
        <f t="shared" si="4"/>
        <v>0</v>
      </c>
      <c r="E15" s="1144">
        <f t="shared" si="4"/>
        <v>0</v>
      </c>
      <c r="F15" s="1144">
        <f t="shared" si="4"/>
        <v>0</v>
      </c>
      <c r="G15" s="1144">
        <f t="shared" si="4"/>
        <v>0</v>
      </c>
      <c r="H15" s="1144">
        <f t="shared" si="4"/>
        <v>0</v>
      </c>
      <c r="I15" s="1144">
        <f t="shared" si="4"/>
        <v>0</v>
      </c>
      <c r="J15" s="1144">
        <f t="shared" si="4"/>
        <v>0</v>
      </c>
    </row>
    <row r="16" spans="1:10">
      <c r="A16" s="1143" t="s">
        <v>1215</v>
      </c>
      <c r="B16" s="1142">
        <f>SUM(B15:J15)</f>
        <v>0</v>
      </c>
      <c r="C16" s="1142"/>
      <c r="D16" s="1142"/>
      <c r="E16" s="1142"/>
      <c r="F16" s="1142"/>
      <c r="G16" s="1142"/>
      <c r="H16" s="1142"/>
      <c r="I16" s="1142"/>
      <c r="J16" s="1142"/>
    </row>
    <row r="17" spans="2:10">
      <c r="B17" s="1142"/>
      <c r="C17" s="1142"/>
      <c r="D17" s="1142"/>
      <c r="E17" s="1142"/>
      <c r="F17" s="1142"/>
      <c r="G17" s="1142"/>
      <c r="H17" s="1142"/>
      <c r="I17" s="1142"/>
      <c r="J17" s="1142"/>
    </row>
  </sheetData>
  <mergeCells count="1">
    <mergeCell ref="A1:J1"/>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showGridLines="0" zoomScale="80" zoomScaleNormal="80" workbookViewId="0">
      <selection activeCell="C24" sqref="C24"/>
    </sheetView>
  </sheetViews>
  <sheetFormatPr baseColWidth="10" defaultRowHeight="15"/>
  <cols>
    <col min="1" max="1" width="32.140625" bestFit="1" customWidth="1"/>
    <col min="2" max="2" width="16" bestFit="1" customWidth="1"/>
    <col min="3" max="3" width="6.5703125" bestFit="1" customWidth="1"/>
    <col min="4" max="4" width="10.85546875" bestFit="1" customWidth="1"/>
    <col min="5" max="5" width="15" bestFit="1" customWidth="1"/>
    <col min="6" max="6" width="24.42578125" bestFit="1" customWidth="1"/>
    <col min="7" max="7" width="14.28515625" bestFit="1" customWidth="1"/>
    <col min="8" max="8" width="32" bestFit="1" customWidth="1"/>
  </cols>
  <sheetData>
    <row r="1" spans="1:8">
      <c r="A1" s="1145" t="s">
        <v>574</v>
      </c>
      <c r="B1" s="1145" t="s">
        <v>1216</v>
      </c>
      <c r="C1" s="1145" t="s">
        <v>1217</v>
      </c>
      <c r="D1" s="1145" t="s">
        <v>1218</v>
      </c>
      <c r="E1" s="1145" t="s">
        <v>1219</v>
      </c>
      <c r="F1" s="1145" t="s">
        <v>1220</v>
      </c>
      <c r="G1" s="1145" t="s">
        <v>1221</v>
      </c>
      <c r="H1" s="1145" t="s">
        <v>1222</v>
      </c>
    </row>
    <row r="2" spans="1:8">
      <c r="A2" s="493" t="s">
        <v>1223</v>
      </c>
      <c r="B2" s="1146">
        <v>0.19688093933630713</v>
      </c>
      <c r="C2" s="1138">
        <v>3.3000000000000002E-2</v>
      </c>
      <c r="D2" s="1138">
        <v>8.7499999999999994E-2</v>
      </c>
      <c r="E2" s="1138">
        <v>0.1</v>
      </c>
      <c r="F2" s="1138">
        <v>5.3370786516854028E-2</v>
      </c>
      <c r="G2" s="1138">
        <v>0</v>
      </c>
      <c r="H2" s="1138">
        <v>0.12</v>
      </c>
    </row>
    <row r="3" spans="1:8">
      <c r="A3" s="493" t="s">
        <v>1224</v>
      </c>
      <c r="B3" s="1146">
        <v>0.19363447099161046</v>
      </c>
      <c r="C3" s="1138">
        <v>2.4E-2</v>
      </c>
      <c r="D3" s="1138">
        <v>7.9500000000000001E-2</v>
      </c>
      <c r="E3" s="1138">
        <v>0.1</v>
      </c>
      <c r="F3" s="1138">
        <v>5.3370786516854028E-2</v>
      </c>
      <c r="G3" s="1138">
        <v>3.2829484152985922E-2</v>
      </c>
      <c r="H3" s="1138">
        <v>8.5000000000000006E-2</v>
      </c>
    </row>
    <row r="4" spans="1:8">
      <c r="A4" s="493" t="s">
        <v>1225</v>
      </c>
      <c r="B4" s="1146">
        <v>0.15642872599177959</v>
      </c>
      <c r="C4" s="1138">
        <v>2.4E-2</v>
      </c>
      <c r="D4" s="1138">
        <v>6.9900000000000004E-2</v>
      </c>
      <c r="E4" s="1138">
        <v>0.08</v>
      </c>
      <c r="F4" s="1138">
        <v>6.7555555555555605E-2</v>
      </c>
      <c r="G4" s="1138">
        <v>0.24081762181947819</v>
      </c>
      <c r="H4" s="1138">
        <v>5.2499999999999998E-2</v>
      </c>
    </row>
    <row r="5" spans="1:8">
      <c r="A5" s="493" t="s">
        <v>1226</v>
      </c>
      <c r="B5" s="1146">
        <v>0.16237870719864356</v>
      </c>
      <c r="C5" s="1138">
        <v>5.0999999999999997E-2</v>
      </c>
      <c r="D5" s="1138">
        <v>6.4899999999999999E-2</v>
      </c>
      <c r="E5" s="1138">
        <v>7.3999999999999996E-2</v>
      </c>
      <c r="F5" s="1138">
        <v>6.4113238967526909E-2</v>
      </c>
      <c r="G5" s="1138">
        <v>-2.5398750214664423E-2</v>
      </c>
      <c r="H5" s="1138">
        <v>7.2499999999999995E-2</v>
      </c>
    </row>
    <row r="6" spans="1:8">
      <c r="A6" s="493" t="s">
        <v>1227</v>
      </c>
      <c r="B6" s="1146">
        <v>0.18698226008677388</v>
      </c>
      <c r="C6" s="1138">
        <v>6.4000000000000001E-2</v>
      </c>
      <c r="D6" s="1138">
        <v>5.5E-2</v>
      </c>
      <c r="E6" s="1138">
        <v>7.8E-2</v>
      </c>
      <c r="F6" s="1138">
        <v>7.6682316118935889E-2</v>
      </c>
      <c r="G6" s="1138">
        <v>-0.13228194631307066</v>
      </c>
      <c r="H6" s="1138">
        <v>6.5000000000000002E-2</v>
      </c>
    </row>
    <row r="7" spans="1:8">
      <c r="A7" s="493" t="s">
        <v>1228</v>
      </c>
      <c r="B7" s="1146">
        <v>0.13164659282380198</v>
      </c>
      <c r="C7" s="1138">
        <v>3.3000000000000002E-2</v>
      </c>
      <c r="D7" s="1138">
        <v>4.8500000000000001E-2</v>
      </c>
      <c r="E7" s="1138">
        <v>6.6000000000000003E-2</v>
      </c>
      <c r="F7" s="1138">
        <v>4.0697674418604779E-2</v>
      </c>
      <c r="G7" s="1138">
        <v>-5.3398863589233181E-2</v>
      </c>
      <c r="H7" s="1138">
        <v>0.06</v>
      </c>
    </row>
    <row r="8" spans="1:8">
      <c r="A8" s="493" t="s">
        <v>1229</v>
      </c>
      <c r="B8" s="1146">
        <v>0.1186325870466769</v>
      </c>
      <c r="C8" s="1138">
        <v>7.9000000000000001E-2</v>
      </c>
      <c r="D8" s="1138">
        <v>4.48E-2</v>
      </c>
      <c r="E8" s="1138">
        <v>6.9000000000000006E-2</v>
      </c>
      <c r="F8" s="1138">
        <v>8.4497206703910741E-2</v>
      </c>
      <c r="G8" s="1138">
        <v>-2.1057707059416564E-2</v>
      </c>
      <c r="H8" s="1138">
        <v>7.4999999999999997E-2</v>
      </c>
    </row>
    <row r="9" spans="1:8">
      <c r="A9" s="493" t="s">
        <v>1230</v>
      </c>
      <c r="B9" s="1147">
        <v>0.16200780565663653</v>
      </c>
      <c r="C9" s="1138">
        <v>7.2999999999999995E-2</v>
      </c>
      <c r="D9" s="1138">
        <v>5.6899999999999999E-2</v>
      </c>
      <c r="E9" s="1138">
        <v>6.3E-2</v>
      </c>
      <c r="F9" s="1138">
        <v>5.2801030264005247E-2</v>
      </c>
      <c r="G9" s="1138">
        <v>-9.7455102561920137E-2</v>
      </c>
      <c r="H9" s="1138">
        <v>9.5000000000000001E-2</v>
      </c>
    </row>
    <row r="10" spans="1:8">
      <c r="A10" s="493" t="s">
        <v>1231</v>
      </c>
      <c r="B10" s="1147">
        <v>0.11394211837237322</v>
      </c>
      <c r="C10" s="1138">
        <v>3.0000000000000001E-3</v>
      </c>
      <c r="D10" s="1138">
        <v>7.6700000000000004E-2</v>
      </c>
      <c r="E10" s="1138">
        <v>6.4000000000000001E-2</v>
      </c>
      <c r="F10" s="1138">
        <v>2.4464831804281318E-2</v>
      </c>
      <c r="G10" s="1138">
        <v>0.11412978706499288</v>
      </c>
      <c r="H10" s="1138">
        <v>9.5000000000000001E-2</v>
      </c>
    </row>
    <row r="11" spans="1:8">
      <c r="A11" s="493" t="s">
        <v>1232</v>
      </c>
      <c r="B11" s="1147">
        <v>5.0854172516453078E-2</v>
      </c>
      <c r="C11" s="1138">
        <v>2.8999999999999998E-2</v>
      </c>
      <c r="D11" s="1138">
        <v>0.02</v>
      </c>
      <c r="E11" s="1138">
        <v>7.6999999999999999E-2</v>
      </c>
      <c r="F11" s="1138">
        <v>1.0746268656716325E-2</v>
      </c>
      <c r="G11" s="1138">
        <v>-8.8451299613393486E-2</v>
      </c>
      <c r="H11" s="1138">
        <v>3.5000000000000003E-2</v>
      </c>
    </row>
    <row r="12" spans="1:8">
      <c r="A12" s="493" t="s">
        <v>1233</v>
      </c>
      <c r="B12" s="1147">
        <v>7.3481234700476961E-2</v>
      </c>
      <c r="C12" s="1138">
        <v>5.2999999999999999E-2</v>
      </c>
      <c r="D12" s="1138">
        <v>3.1699999999999999E-2</v>
      </c>
      <c r="E12" s="1138">
        <v>3.5999999999999997E-2</v>
      </c>
      <c r="F12" s="1138">
        <v>3.1305375073833519E-2</v>
      </c>
      <c r="G12" s="1138">
        <v>-2.6110618970943023E-2</v>
      </c>
      <c r="H12" s="1138">
        <v>0.03</v>
      </c>
    </row>
    <row r="13" spans="1:8">
      <c r="A13" s="493" t="s">
        <v>1234</v>
      </c>
      <c r="B13" s="1147">
        <v>6.2832968648075749E-2</v>
      </c>
      <c r="C13" s="1138">
        <v>6.3E-2</v>
      </c>
      <c r="D13" s="1138">
        <v>3.73E-2</v>
      </c>
      <c r="E13" s="1138">
        <v>0.04</v>
      </c>
      <c r="F13" s="1138">
        <v>7.3883161512027437E-2</v>
      </c>
      <c r="G13" s="1138">
        <v>-2.3219098185913722E-2</v>
      </c>
      <c r="H13" s="1138">
        <v>4.7500000000000001E-2</v>
      </c>
    </row>
    <row r="14" spans="1:8">
      <c r="A14" s="493" t="s">
        <v>1235</v>
      </c>
      <c r="B14" s="1147">
        <v>1.517982540302687E-2</v>
      </c>
      <c r="C14" s="1138">
        <v>2.8999999999999998E-2</v>
      </c>
      <c r="D14" s="1138">
        <v>2.4400000000000002E-2</v>
      </c>
      <c r="E14" s="1138">
        <v>5.8000000000000003E-2</v>
      </c>
      <c r="F14" s="1138">
        <v>0.14090909090909093</v>
      </c>
      <c r="G14" s="1138">
        <v>-8.7634547046402722E-2</v>
      </c>
      <c r="H14" s="1138">
        <v>4.2500000000000003E-2</v>
      </c>
    </row>
    <row r="15" spans="1:8">
      <c r="A15" s="493" t="s">
        <v>1236</v>
      </c>
      <c r="B15" s="1147">
        <v>7.7529672729522936E-2</v>
      </c>
      <c r="C15" s="1138">
        <v>5.9000000000000004E-2</v>
      </c>
      <c r="D15" s="1138">
        <v>1.9400000000000001E-2</v>
      </c>
      <c r="E15" s="1138">
        <v>4.02E-2</v>
      </c>
      <c r="F15" s="1138">
        <v>4.0796019900497527E-2</v>
      </c>
      <c r="G15" s="1138">
        <v>8.5860810826075662E-2</v>
      </c>
      <c r="H15" s="1138">
        <v>3.2500000000000001E-2</v>
      </c>
    </row>
    <row r="16" spans="1:8">
      <c r="A16" s="493" t="s">
        <v>1237</v>
      </c>
      <c r="B16" s="1146">
        <v>2.157201062713332E-3</v>
      </c>
      <c r="C16" s="1138">
        <v>3.3000000000000002E-2</v>
      </c>
      <c r="D16" s="1138">
        <v>3.6600000000000001E-2</v>
      </c>
      <c r="E16" s="1138">
        <v>4.4999999999999998E-2</v>
      </c>
      <c r="F16" s="1138">
        <v>0.11042065009560219</v>
      </c>
      <c r="G16" s="1138">
        <v>0.24506130435687679</v>
      </c>
      <c r="H16" s="1138">
        <v>4.4999999999999998E-2</v>
      </c>
    </row>
    <row r="17" spans="1:8">
      <c r="A17" s="493" t="s">
        <v>1238</v>
      </c>
      <c r="B17" s="1148">
        <f t="shared" ref="B17:B22" si="0">+($B$27+($B$28*C17)+($B$29*D17)+($B$30*H17)+($B$31*G17)+($B$32*E17)+($B$33*F17))</f>
        <v>0.11835133192682903</v>
      </c>
      <c r="C17" s="1148">
        <v>3.1E-2</v>
      </c>
      <c r="D17" s="1148">
        <v>6.7699999999999996E-2</v>
      </c>
      <c r="E17" s="1148">
        <v>4.5999999999999999E-2</v>
      </c>
      <c r="F17" s="1148">
        <v>2.3E-2</v>
      </c>
      <c r="G17" s="1148">
        <v>0.35799999999999998</v>
      </c>
      <c r="H17" s="1148">
        <v>5.7500000000000002E-2</v>
      </c>
    </row>
    <row r="18" spans="1:8">
      <c r="A18" s="493" t="s">
        <v>1239</v>
      </c>
      <c r="B18" s="1148">
        <f t="shared" si="0"/>
        <v>6.7182438291223334E-2</v>
      </c>
      <c r="C18" s="1148">
        <v>2.5999999999999999E-2</v>
      </c>
      <c r="D18" s="1148">
        <v>4.3999999999999997E-2</v>
      </c>
      <c r="E18" s="1148">
        <v>6.2E-2</v>
      </c>
      <c r="F18" s="1148">
        <v>1.9E-2</v>
      </c>
      <c r="G18" s="1148">
        <v>0.218</v>
      </c>
      <c r="H18" s="1148">
        <v>6.25E-2</v>
      </c>
    </row>
    <row r="19" spans="1:8">
      <c r="A19" s="493" t="s">
        <v>1240</v>
      </c>
      <c r="B19" s="1148">
        <f t="shared" si="0"/>
        <v>5.0393920805493715E-2</v>
      </c>
      <c r="C19" s="1148">
        <v>2.9000000000000001E-2</v>
      </c>
      <c r="D19" s="1148">
        <v>3.1E-2</v>
      </c>
      <c r="E19" s="1148">
        <v>0.05</v>
      </c>
      <c r="F19" s="1148">
        <v>3.1E-2</v>
      </c>
      <c r="G19" s="1148">
        <v>-6.9999999999999993E-3</v>
      </c>
      <c r="H19" s="1148">
        <v>4.4999999999999998E-2</v>
      </c>
    </row>
    <row r="20" spans="1:8">
      <c r="A20" s="493" t="s">
        <v>1241</v>
      </c>
      <c r="B20" s="1148">
        <f t="shared" si="0"/>
        <v>6.8478312815182241E-2</v>
      </c>
      <c r="C20" s="1148">
        <v>3.7999999999999999E-2</v>
      </c>
      <c r="D20" s="1148">
        <v>3.1E-2</v>
      </c>
      <c r="E20" s="1148">
        <v>0.05</v>
      </c>
      <c r="F20" s="1148">
        <v>3.1E-2</v>
      </c>
      <c r="G20" s="1148">
        <v>-7.8E-2</v>
      </c>
      <c r="H20" s="1148">
        <v>4.4999999999999998E-2</v>
      </c>
    </row>
    <row r="21" spans="1:8">
      <c r="A21" s="493" t="s">
        <v>1242</v>
      </c>
      <c r="B21" s="1148">
        <f t="shared" si="0"/>
        <v>6.6797747120142054E-2</v>
      </c>
      <c r="C21" s="1148">
        <v>3.9E-2</v>
      </c>
      <c r="D21" s="1148">
        <v>0.03</v>
      </c>
      <c r="E21" s="1148">
        <v>0.05</v>
      </c>
      <c r="F21" s="1148">
        <v>3.1E-2</v>
      </c>
      <c r="G21" s="1148">
        <v>-7.8E-2</v>
      </c>
      <c r="H21" s="1148">
        <v>4.4999999999999998E-2</v>
      </c>
    </row>
    <row r="22" spans="1:8">
      <c r="A22" s="493" t="s">
        <v>1243</v>
      </c>
      <c r="B22" s="1148">
        <f t="shared" si="0"/>
        <v>6.8115758521246045E-2</v>
      </c>
      <c r="C22" s="1148">
        <v>0.04</v>
      </c>
      <c r="D22" s="1148">
        <v>0.03</v>
      </c>
      <c r="E22" s="1148">
        <v>0.05</v>
      </c>
      <c r="F22" s="1148">
        <v>3.1E-2</v>
      </c>
      <c r="G22" s="1148">
        <v>-7.8E-2</v>
      </c>
      <c r="H22" s="1148">
        <v>4.4999999999999998E-2</v>
      </c>
    </row>
    <row r="25" spans="1:8" ht="15.75" thickBot="1"/>
    <row r="26" spans="1:8" ht="15.75" thickBot="1">
      <c r="A26" s="1642" t="s">
        <v>1244</v>
      </c>
      <c r="B26" s="1643"/>
    </row>
    <row r="27" spans="1:8">
      <c r="A27" s="1149" t="s">
        <v>1245</v>
      </c>
      <c r="B27" s="1149">
        <f>+'Modelo de Regresión'!B17</f>
        <v>-8.1884187796482655E-2</v>
      </c>
    </row>
    <row r="28" spans="1:8">
      <c r="A28" s="1150" t="s">
        <v>1217</v>
      </c>
      <c r="B28" s="1150">
        <f>+'Modelo de Regresión'!B18</f>
        <v>1.3180114011039885</v>
      </c>
    </row>
    <row r="29" spans="1:8">
      <c r="A29" s="1150" t="s">
        <v>1218</v>
      </c>
      <c r="B29" s="1150">
        <f>+'Modelo de Regresión'!B19</f>
        <v>2.9985770961441651</v>
      </c>
    </row>
    <row r="30" spans="1:8">
      <c r="A30" s="1150" t="s">
        <v>1222</v>
      </c>
      <c r="B30" s="1150">
        <f>+'Modelo de Regresión'!B20</f>
        <v>-0.92175380632793547</v>
      </c>
    </row>
    <row r="31" spans="1:8">
      <c r="A31" s="1150" t="s">
        <v>1221</v>
      </c>
      <c r="B31" s="1150">
        <f>+'Modelo de Regresión'!B21</f>
        <v>-8.7637878869755298E-2</v>
      </c>
    </row>
    <row r="32" spans="1:8">
      <c r="A32" s="1150" t="s">
        <v>1219</v>
      </c>
      <c r="B32" s="1150">
        <f>+'Modelo de Regresión'!B22</f>
        <v>1.079734883878152</v>
      </c>
    </row>
    <row r="33" spans="1:2" ht="15.75" thickBot="1">
      <c r="A33" s="1151" t="s">
        <v>1220</v>
      </c>
      <c r="B33" s="1151">
        <f>+'Modelo de Regresión'!B23</f>
        <v>-0.3877870990886198</v>
      </c>
    </row>
  </sheetData>
  <mergeCells count="1">
    <mergeCell ref="A26:B26"/>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44"/>
  <sheetViews>
    <sheetView showGridLines="0" topLeftCell="A19" zoomScale="80" zoomScaleNormal="80" workbookViewId="0">
      <selection activeCell="O6" sqref="O6"/>
    </sheetView>
  </sheetViews>
  <sheetFormatPr baseColWidth="10" defaultRowHeight="15"/>
  <cols>
    <col min="1" max="1" width="50.85546875" bestFit="1" customWidth="1"/>
    <col min="10" max="11" width="11.7109375" customWidth="1"/>
    <col min="12" max="15" width="11.7109375" bestFit="1" customWidth="1"/>
  </cols>
  <sheetData>
    <row r="1" spans="1:16" ht="15.75" thickBot="1"/>
    <row r="2" spans="1:16" ht="15.75" thickBot="1">
      <c r="A2" s="1210" t="s">
        <v>1279</v>
      </c>
      <c r="B2" s="1211">
        <f>+'Ventas y EBITDA'!B4</f>
        <v>2007</v>
      </c>
      <c r="C2" s="1211">
        <f>+'Ventas y EBITDA'!C4</f>
        <v>2008</v>
      </c>
      <c r="D2" s="1211">
        <f>+'Ventas y EBITDA'!D4</f>
        <v>2009</v>
      </c>
      <c r="E2" s="1211">
        <f>+'Ventas y EBITDA'!E4</f>
        <v>2010</v>
      </c>
      <c r="F2" s="1211">
        <f>+'Ventas y EBITDA'!F4</f>
        <v>2011</v>
      </c>
      <c r="G2" s="1211">
        <f>+'Ventas y EBITDA'!G4</f>
        <v>2012</v>
      </c>
      <c r="H2" s="1211">
        <f>+'Ventas y EBITDA'!H4</f>
        <v>2013</v>
      </c>
      <c r="I2" s="1211">
        <f>+'Ventas y EBITDA'!I4</f>
        <v>2014</v>
      </c>
      <c r="J2" s="1209">
        <f>+'Ventas y EBITDA'!J4</f>
        <v>2015</v>
      </c>
      <c r="K2" s="1209">
        <f>+'Ventas y EBITDA'!K4</f>
        <v>2016</v>
      </c>
      <c r="L2" s="1209">
        <f>+'Ventas y EBITDA'!L4</f>
        <v>2017</v>
      </c>
      <c r="M2" s="1209">
        <f>+'Ventas y EBITDA'!M4</f>
        <v>2018</v>
      </c>
      <c r="N2" s="1209">
        <f>+'Ventas y EBITDA'!N4</f>
        <v>2019</v>
      </c>
      <c r="O2" s="1212">
        <f>+'Ventas y EBITDA'!O4</f>
        <v>2020</v>
      </c>
    </row>
    <row r="3" spans="1:16">
      <c r="O3" s="401"/>
    </row>
    <row r="4" spans="1:16">
      <c r="A4" s="1213" t="s">
        <v>1280</v>
      </c>
      <c r="O4" s="415"/>
    </row>
    <row r="5" spans="1:16">
      <c r="A5" s="1214" t="s">
        <v>1281</v>
      </c>
      <c r="B5" s="490">
        <f>+('Estados Financieros (P)'!B38/'Estados Financieros (P)'!B7)*365</f>
        <v>281.03690647801852</v>
      </c>
      <c r="C5" s="490">
        <f>+('Estados Financieros (P)'!C38/'Estados Financieros (P)'!C7)*365</f>
        <v>356.58184705458979</v>
      </c>
      <c r="D5" s="490">
        <f>+('Estados Financieros (P)'!D38/'Estados Financieros (P)'!D7)*365</f>
        <v>133.53140519442306</v>
      </c>
      <c r="E5" s="490">
        <f>+('Estados Financieros (P)'!E38/'Estados Financieros (P)'!E7)*365</f>
        <v>138.23592588875394</v>
      </c>
      <c r="F5" s="490">
        <f>+('Estados Financieros (P)'!F38/'Estados Financieros (P)'!F7)*365</f>
        <v>144.40075972690383</v>
      </c>
      <c r="G5" s="490">
        <f>+('Estados Financieros (P)'!G38/'Estados Financieros (P)'!G7)*365</f>
        <v>153.48317405059916</v>
      </c>
      <c r="H5" s="490">
        <f>+('Estados Financieros (P)'!H38/'Estados Financieros (P)'!H7)*365</f>
        <v>185.04563591545192</v>
      </c>
      <c r="I5" s="490">
        <f>+('Estados Financieros (P)'!I38/'Estados Financieros (P)'!I7)*365</f>
        <v>287.32465708250783</v>
      </c>
      <c r="J5" s="490">
        <f>+I5+($O$5-$I$5)/6</f>
        <v>274.4372142354232</v>
      </c>
      <c r="K5" s="490">
        <f>+J5+($O$5-$I$5)/6</f>
        <v>261.54977138833857</v>
      </c>
      <c r="L5" s="490">
        <f>+K5+($O$5-$I$5)/6</f>
        <v>248.66232854125394</v>
      </c>
      <c r="M5" s="490">
        <f>+L5+($O$5-$I$5)/6</f>
        <v>235.77488569416931</v>
      </c>
      <c r="N5" s="490">
        <f>+M5+($O$5-$I$5)/6</f>
        <v>222.88744284708469</v>
      </c>
      <c r="O5" s="1276">
        <v>210</v>
      </c>
      <c r="P5" s="1492"/>
    </row>
    <row r="6" spans="1:16">
      <c r="A6" s="1214" t="s">
        <v>1282</v>
      </c>
      <c r="B6" s="490">
        <f>+('Anexo 1 - Balance'!C10/'Estados Financieros (P)'!B7)*365</f>
        <v>75.725000813975669</v>
      </c>
      <c r="C6" s="490">
        <f>+('Anexo 1 - Balance'!D10/'Estados Financieros (P)'!C7)*365</f>
        <v>71.429389770713456</v>
      </c>
      <c r="D6" s="490">
        <f>+('Anexo 1 - Balance'!E10/'Estados Financieros (P)'!D7)*365</f>
        <v>73.680219660463152</v>
      </c>
      <c r="E6" s="490">
        <f>+('Anexo 1 - Balance'!F10/'Estados Financieros (P)'!E7)*365</f>
        <v>78.498541544658408</v>
      </c>
      <c r="F6" s="490">
        <f>+('Anexo 1 - Balance'!G10/'Estados Financieros (P)'!F7)*365</f>
        <v>68.898993931817671</v>
      </c>
      <c r="G6" s="490">
        <f>+('Anexo 1 - Balance'!H10/'Estados Financieros (P)'!G7)*365</f>
        <v>77.840342498811381</v>
      </c>
      <c r="H6" s="490">
        <f>+('Anexo 1 - Balance'!I10/'Estados Financieros (P)'!H7)*365</f>
        <v>81.648224777381927</v>
      </c>
      <c r="I6" s="490">
        <f>+('Anexo 1 - Balance'!J10/'Estados Financieros (P)'!I7)*365</f>
        <v>104.58834563421033</v>
      </c>
      <c r="J6" s="490">
        <f>+I6+($O$6-$I$6)/6</f>
        <v>100.32362136184194</v>
      </c>
      <c r="K6" s="490">
        <f>+J6+($O$6-$I$6)/6</f>
        <v>96.058897089473561</v>
      </c>
      <c r="L6" s="490">
        <f>+K6+($O$6-$I$6)/6</f>
        <v>91.794172817105178</v>
      </c>
      <c r="M6" s="490">
        <f>+L6+($O$6-$I$6)/6</f>
        <v>87.529448544736795</v>
      </c>
      <c r="N6" s="490">
        <f>+M6+($O$6-$I$6)/6</f>
        <v>83.264724272368412</v>
      </c>
      <c r="O6" s="1276">
        <v>79</v>
      </c>
    </row>
    <row r="7" spans="1:16">
      <c r="A7" s="1214" t="s">
        <v>1283</v>
      </c>
      <c r="B7">
        <f>+('Estados Financieros (P)'!B39/'Estados Financieros (P)'!B9)*365</f>
        <v>0</v>
      </c>
      <c r="C7" s="64">
        <f>+('Estados Financieros (P)'!C39/'Estados Financieros (P)'!C9)*365</f>
        <v>0</v>
      </c>
      <c r="D7" s="64">
        <f>+('Estados Financieros (P)'!D39/'Estados Financieros (P)'!D9)*365</f>
        <v>0</v>
      </c>
      <c r="E7" s="64">
        <f>+('Estados Financieros (P)'!E39/'Estados Financieros (P)'!E9)*365</f>
        <v>0</v>
      </c>
      <c r="F7" s="64">
        <f>+('Estados Financieros (P)'!F39/'Estados Financieros (P)'!F9)*365</f>
        <v>0</v>
      </c>
      <c r="G7" s="64">
        <f>+('Estados Financieros (P)'!G39/'Estados Financieros (P)'!G9)*365</f>
        <v>0</v>
      </c>
      <c r="H7" s="64">
        <f>+('Estados Financieros (P)'!H39/'Estados Financieros (P)'!H9)*365</f>
        <v>0</v>
      </c>
      <c r="I7" s="64">
        <f>+('Estados Financieros (P)'!I39/'Estados Financieros (P)'!I9)*365</f>
        <v>0</v>
      </c>
      <c r="J7">
        <f>+I7+($O$7-$I$7)/6</f>
        <v>0</v>
      </c>
      <c r="K7">
        <f>+J7+($O$7-$I$7)/6</f>
        <v>0</v>
      </c>
      <c r="L7">
        <f>+K7+($O$7-$I$7)/6</f>
        <v>0</v>
      </c>
      <c r="M7">
        <f>+L7+($O$7-$I$7)/6</f>
        <v>0</v>
      </c>
      <c r="N7">
        <f>+M7+($O$7-$I$7)/6</f>
        <v>0</v>
      </c>
      <c r="O7" s="1276">
        <v>0</v>
      </c>
    </row>
    <row r="8" spans="1:16">
      <c r="A8" s="1213" t="s">
        <v>1284</v>
      </c>
      <c r="O8" s="415"/>
    </row>
    <row r="9" spans="1:16">
      <c r="A9" s="1214" t="s">
        <v>1285</v>
      </c>
      <c r="B9" s="701">
        <f>+('Anexo 1 - Balance'!C10/'Estados Financieros (P)'!B7)</f>
        <v>0.20746575565472786</v>
      </c>
      <c r="C9" s="701">
        <f>+('Anexo 1 - Balance'!D10/'Estados Financieros (P)'!C7)</f>
        <v>0.19569695827592729</v>
      </c>
      <c r="D9" s="701">
        <f>+('Anexo 1 - Balance'!E10/'Estados Financieros (P)'!D7)</f>
        <v>0.20186361550811824</v>
      </c>
      <c r="E9" s="701">
        <f>+('Anexo 1 - Balance'!F10/'Estados Financieros (P)'!E7)</f>
        <v>0.21506449738262579</v>
      </c>
      <c r="F9" s="701">
        <f>+('Anexo 1 - Balance'!G10/'Estados Financieros (P)'!F7)</f>
        <v>0.18876436693648677</v>
      </c>
      <c r="G9" s="701">
        <f>+('Anexo 1 - Balance'!H10/'Estados Financieros (P)'!G7)</f>
        <v>0.21326121232551062</v>
      </c>
      <c r="H9" s="701">
        <f>+('Anexo 1 - Balance'!I10/'Estados Financieros (P)'!H7)</f>
        <v>0.22369376651337514</v>
      </c>
      <c r="I9" s="701">
        <f>+('Anexo 1 - Balance'!J10/'Estados Financieros (P)'!I7)</f>
        <v>0.28654341269646666</v>
      </c>
      <c r="J9" s="1240">
        <f t="shared" ref="J9:O9" si="0">+I9</f>
        <v>0.28654341269646666</v>
      </c>
      <c r="K9" s="1240">
        <f t="shared" si="0"/>
        <v>0.28654341269646666</v>
      </c>
      <c r="L9" s="1240">
        <f t="shared" si="0"/>
        <v>0.28654341269646666</v>
      </c>
      <c r="M9" s="1240">
        <f t="shared" si="0"/>
        <v>0.28654341269646666</v>
      </c>
      <c r="N9" s="1240">
        <f t="shared" si="0"/>
        <v>0.28654341269646666</v>
      </c>
      <c r="O9" s="1277">
        <f t="shared" si="0"/>
        <v>0.28654341269646666</v>
      </c>
    </row>
    <row r="10" spans="1:16">
      <c r="A10" s="1213" t="s">
        <v>1286</v>
      </c>
      <c r="O10" s="415"/>
    </row>
    <row r="11" spans="1:16">
      <c r="A11" s="1214" t="s">
        <v>1287</v>
      </c>
      <c r="B11" s="490">
        <f>+('Estados Financieros (P)'!B54/'Estados Financieros (P)'!B9)*365</f>
        <v>22.335269686647184</v>
      </c>
      <c r="C11" s="490">
        <f>+('Estados Financieros (P)'!C54/'Estados Financieros (P)'!C9)*365</f>
        <v>14.810737830560845</v>
      </c>
      <c r="D11" s="490">
        <f>+('Estados Financieros (P)'!D54/'Estados Financieros (P)'!D9)*365</f>
        <v>15.092074680929464</v>
      </c>
      <c r="E11" s="490">
        <f>+('Estados Financieros (P)'!E54/'Estados Financieros (P)'!E9)*365</f>
        <v>13.987581295948026</v>
      </c>
      <c r="F11" s="490">
        <f>+('Estados Financieros (P)'!F54/'Estados Financieros (P)'!F9)*365</f>
        <v>10.796250709466605</v>
      </c>
      <c r="G11" s="490">
        <f>+('Estados Financieros (P)'!G54/'Estados Financieros (P)'!G9)*365</f>
        <v>20.699433477801808</v>
      </c>
      <c r="H11" s="490">
        <f>+('Estados Financieros (P)'!H54/'Estados Financieros (P)'!H9)*365</f>
        <v>39.129478357074724</v>
      </c>
      <c r="I11" s="490">
        <f>+('Estados Financieros (P)'!I54/'Estados Financieros (P)'!I9)*365</f>
        <v>29.893453850467225</v>
      </c>
      <c r="J11" s="490">
        <f>+I11+($O$11-$I$11)/6</f>
        <v>28.411211542056019</v>
      </c>
      <c r="K11" s="490">
        <f>+J11+($O$11-$I$11)/6</f>
        <v>26.928969233644814</v>
      </c>
      <c r="L11" s="490">
        <f>+K11+($O$11-$I$11)/6</f>
        <v>25.446726925233609</v>
      </c>
      <c r="M11" s="490">
        <f>+L11+($O$11-$I$11)/6</f>
        <v>23.964484616822403</v>
      </c>
      <c r="N11" s="490">
        <f>+M11+($O$11-$I$11)/6</f>
        <v>22.482242308411198</v>
      </c>
      <c r="O11" s="1276">
        <v>21</v>
      </c>
    </row>
    <row r="12" spans="1:16">
      <c r="A12" s="1214" t="s">
        <v>1288</v>
      </c>
      <c r="B12" s="701">
        <f>+('Estados Financieros (P)'!B54/'Estados Financieros (P)'!B9)</f>
        <v>6.1192519689444343E-2</v>
      </c>
      <c r="C12" s="701">
        <f>+('Estados Financieros (P)'!C54/'Estados Financieros (P)'!C9)</f>
        <v>4.0577363919344779E-2</v>
      </c>
      <c r="D12" s="701">
        <f>+('Estados Financieros (P)'!D54/'Estados Financieros (P)'!D9)</f>
        <v>4.1348149810765657E-2</v>
      </c>
      <c r="E12" s="701">
        <f>+('Estados Financieros (P)'!E54/'Estados Financieros (P)'!E9)</f>
        <v>3.8322140536843907E-2</v>
      </c>
      <c r="F12" s="701">
        <f>+('Estados Financieros (P)'!F54/'Estados Financieros (P)'!F9)</f>
        <v>2.9578769067031795E-2</v>
      </c>
      <c r="G12" s="701">
        <f>+('Estados Financieros (P)'!G54/'Estados Financieros (P)'!G9)</f>
        <v>5.67107766515118E-2</v>
      </c>
      <c r="H12" s="701">
        <f>+('Estados Financieros (P)'!H54/'Estados Financieros (P)'!H9)</f>
        <v>0.1072040502933554</v>
      </c>
      <c r="I12" s="701">
        <f>+('Estados Financieros (P)'!I54/'Estados Financieros (P)'!I9)</f>
        <v>8.18998735629239E-2</v>
      </c>
      <c r="J12" s="1240">
        <f t="shared" ref="J12:O13" si="1">+I12</f>
        <v>8.18998735629239E-2</v>
      </c>
      <c r="K12" s="1240">
        <f t="shared" si="1"/>
        <v>8.18998735629239E-2</v>
      </c>
      <c r="L12" s="1240">
        <f t="shared" si="1"/>
        <v>8.18998735629239E-2</v>
      </c>
      <c r="M12" s="1240">
        <f t="shared" si="1"/>
        <v>8.18998735629239E-2</v>
      </c>
      <c r="N12" s="1240">
        <f t="shared" si="1"/>
        <v>8.18998735629239E-2</v>
      </c>
      <c r="O12" s="1277">
        <f t="shared" si="1"/>
        <v>8.18998735629239E-2</v>
      </c>
    </row>
    <row r="13" spans="1:16">
      <c r="A13" s="1214" t="s">
        <v>1289</v>
      </c>
      <c r="B13" s="701">
        <f>'Anexo 1 - Balance'!C128/'Anexo 2 - ER'!C25</f>
        <v>0.35410872848934877</v>
      </c>
      <c r="C13" s="701">
        <f>'Anexo 1 - Balance'!D128/'Anexo 2 - ER'!D25</f>
        <v>0.59042095528809391</v>
      </c>
      <c r="D13" s="701">
        <f>'Anexo 1 - Balance'!E128/'Anexo 2 - ER'!E25</f>
        <v>0.39994965692788359</v>
      </c>
      <c r="E13" s="701">
        <f>'Anexo 1 - Balance'!F128/'Anexo 2 - ER'!F25</f>
        <v>0.37743218274136292</v>
      </c>
      <c r="F13" s="701">
        <f>'Anexo 1 - Balance'!G128/'Anexo 2 - ER'!G25</f>
        <v>0.36778771464401661</v>
      </c>
      <c r="G13" s="701">
        <f>'Anexo 1 - Balance'!H128/'Anexo 2 - ER'!H25</f>
        <v>0.45334590093402755</v>
      </c>
      <c r="H13" s="701">
        <f>'Anexo 1 - Balance'!I128/'Anexo 2 - ER'!I25</f>
        <v>0.46397604787856156</v>
      </c>
      <c r="I13" s="701">
        <f>'Anexo 1 - Balance'!J128/'Anexo 2 - ER'!J25</f>
        <v>0.53552227811290776</v>
      </c>
      <c r="J13" s="1240">
        <f t="shared" si="1"/>
        <v>0.53552227811290776</v>
      </c>
      <c r="K13" s="1240">
        <f t="shared" si="1"/>
        <v>0.53552227811290776</v>
      </c>
      <c r="L13" s="1240">
        <f t="shared" si="1"/>
        <v>0.53552227811290776</v>
      </c>
      <c r="M13" s="1240">
        <f t="shared" si="1"/>
        <v>0.53552227811290776</v>
      </c>
      <c r="N13" s="1240">
        <f t="shared" si="1"/>
        <v>0.53552227811290776</v>
      </c>
      <c r="O13" s="1277">
        <f t="shared" si="1"/>
        <v>0.53552227811290776</v>
      </c>
    </row>
    <row r="14" spans="1:16">
      <c r="O14" s="415"/>
    </row>
    <row r="15" spans="1:16">
      <c r="A15" s="1213" t="s">
        <v>1097</v>
      </c>
      <c r="O15" s="415"/>
    </row>
    <row r="16" spans="1:16">
      <c r="A16" s="1214" t="s">
        <v>1340</v>
      </c>
      <c r="B16" s="1229">
        <f>+'Estados Financieros (P)'!B74</f>
        <v>26736.687000000002</v>
      </c>
      <c r="C16" s="1229">
        <f>+'Estados Financieros (P)'!C74</f>
        <v>32040.596000000001</v>
      </c>
      <c r="D16" s="1229">
        <f>+'Estados Financieros (P)'!D74</f>
        <v>43925.756000000001</v>
      </c>
      <c r="E16" s="1229">
        <f>+'Estados Financieros (P)'!E74</f>
        <v>29806.920999999998</v>
      </c>
      <c r="F16" s="1229">
        <f>+'Estados Financieros (P)'!F74</f>
        <v>36100.748</v>
      </c>
      <c r="G16" s="1229">
        <f>+'Estados Financieros (P)'!G74</f>
        <v>4209.607</v>
      </c>
      <c r="H16" s="1229">
        <f>+'Estados Financieros (P)'!H74</f>
        <v>4210</v>
      </c>
      <c r="I16" s="1229">
        <f>+'Estados Financieros (P)'!I74</f>
        <v>4209.607</v>
      </c>
      <c r="J16" s="1229">
        <f>+'Estados Financieros (P)'!J74</f>
        <v>4209.607</v>
      </c>
      <c r="K16" s="1229">
        <f>+'Estados Financieros (P)'!K74</f>
        <v>4209.607</v>
      </c>
      <c r="L16" s="1229">
        <f>+'Estados Financieros (P)'!L74</f>
        <v>4209.607</v>
      </c>
      <c r="M16" s="1229">
        <f>+'Estados Financieros (P)'!M74</f>
        <v>4209.607</v>
      </c>
      <c r="N16" s="1229">
        <f>+'Estados Financieros (P)'!N74</f>
        <v>4209.607</v>
      </c>
      <c r="O16" s="1278">
        <f>+'Estados Financieros (P)'!O74</f>
        <v>4209.607</v>
      </c>
    </row>
    <row r="17" spans="1:15">
      <c r="A17" s="1214" t="s">
        <v>1342</v>
      </c>
      <c r="B17" s="1229">
        <f>+'Estados Financieros (P)'!B29</f>
        <v>12306.288</v>
      </c>
      <c r="C17" s="1229">
        <f>+'Estados Financieros (P)'!C29</f>
        <v>22940.538</v>
      </c>
      <c r="D17" s="1229">
        <f>+'Estados Financieros (P)'!D29</f>
        <v>13989.018999999995</v>
      </c>
      <c r="E17" s="1229">
        <f>+'Estados Financieros (P)'!E29</f>
        <v>18180.749</v>
      </c>
      <c r="F17" s="1229">
        <f>+'Estados Financieros (P)'!F29</f>
        <v>17945.632000000005</v>
      </c>
      <c r="G17" s="1229">
        <f>+'Estados Financieros (P)'!G29</f>
        <v>15037.778999999999</v>
      </c>
      <c r="H17" s="1229">
        <f>+'Estados Financieros (P)'!H29</f>
        <v>13841.280000000012</v>
      </c>
      <c r="I17" s="1229">
        <f>+'Estados Financieros (P)'!I29</f>
        <v>15015.329999999998</v>
      </c>
      <c r="J17" s="1229">
        <f>+'Estados Financieros (P)'!J29</f>
        <v>18905.315423189131</v>
      </c>
      <c r="K17" s="1229">
        <f>+'Estados Financieros (P)'!K29</f>
        <v>18522.670665892139</v>
      </c>
      <c r="L17" s="1229">
        <f>+'Estados Financieros (P)'!L29</f>
        <v>18538.800288703984</v>
      </c>
      <c r="M17" s="1229">
        <f>+'Estados Financieros (P)'!M29</f>
        <v>18969.352600410635</v>
      </c>
      <c r="N17" s="1229">
        <f>+'Estados Financieros (P)'!N29</f>
        <v>19773.099659368738</v>
      </c>
      <c r="O17" s="1278">
        <f>+'Estados Financieros (P)'!O29</f>
        <v>21023.656634781382</v>
      </c>
    </row>
    <row r="18" spans="1:15">
      <c r="A18" s="1214" t="s">
        <v>1343</v>
      </c>
      <c r="B18" s="1229">
        <f>+'Estados Financieros (P)'!B77</f>
        <v>0</v>
      </c>
      <c r="C18" s="1229">
        <f>+'Estados Financieros (P)'!C77</f>
        <v>0</v>
      </c>
      <c r="D18" s="1229">
        <f>+'Estados Financieros (P)'!D77</f>
        <v>0</v>
      </c>
      <c r="E18" s="1229">
        <f>+'Estados Financieros (P)'!E77</f>
        <v>0</v>
      </c>
      <c r="F18" s="1229">
        <f>+'Estados Financieros (P)'!F77</f>
        <v>0</v>
      </c>
      <c r="G18" s="1229">
        <f>+'Estados Financieros (P)'!G77</f>
        <v>0</v>
      </c>
      <c r="H18" s="1229">
        <f>+'Estados Financieros (P)'!H77</f>
        <v>0</v>
      </c>
      <c r="I18" s="1264">
        <f>+'Estados Financieros (P)'!I77</f>
        <v>0</v>
      </c>
      <c r="J18" s="491"/>
      <c r="K18" s="491"/>
      <c r="L18" s="491"/>
      <c r="M18" s="491"/>
      <c r="N18" s="491"/>
      <c r="O18" s="492"/>
    </row>
    <row r="19" spans="1:15">
      <c r="A19" s="1252" t="s">
        <v>1361</v>
      </c>
      <c r="B19" s="1247">
        <f>+'[5]Estados Financieros'!B135</f>
        <v>13753.022000000001</v>
      </c>
      <c r="C19" s="1247">
        <f>+(B16+B17+B18)-(C16+C18)</f>
        <v>7002.3790000000045</v>
      </c>
      <c r="D19" s="1247">
        <f t="shared" ref="D19:I19" si="2">+(C16+C17+C18)-(D16+D18)</f>
        <v>11055.378000000004</v>
      </c>
      <c r="E19" s="1247">
        <f t="shared" si="2"/>
        <v>28107.853999999996</v>
      </c>
      <c r="F19" s="1247">
        <f t="shared" si="2"/>
        <v>11886.921999999999</v>
      </c>
      <c r="G19" s="1247">
        <f t="shared" si="2"/>
        <v>49836.773000000001</v>
      </c>
      <c r="H19" s="1247">
        <f t="shared" si="2"/>
        <v>15037.385999999999</v>
      </c>
      <c r="I19" s="1230">
        <f t="shared" si="2"/>
        <v>13841.673000000013</v>
      </c>
      <c r="J19" s="1230">
        <f t="shared" ref="J19:O19" si="3">+(I16+I17+I18)-(J16+J18)</f>
        <v>15015.329999999998</v>
      </c>
      <c r="K19" s="1230">
        <f t="shared" si="3"/>
        <v>18905.315423189131</v>
      </c>
      <c r="L19" s="1230">
        <f t="shared" si="3"/>
        <v>18522.670665892139</v>
      </c>
      <c r="M19" s="1230">
        <f t="shared" si="3"/>
        <v>18538.800288703984</v>
      </c>
      <c r="N19" s="1230">
        <f t="shared" si="3"/>
        <v>18969.352600410635</v>
      </c>
      <c r="O19" s="1279">
        <f t="shared" si="3"/>
        <v>19773.099659368738</v>
      </c>
    </row>
    <row r="20" spans="1:15">
      <c r="O20" s="415"/>
    </row>
    <row r="21" spans="1:15">
      <c r="A21" s="1213" t="s">
        <v>1362</v>
      </c>
      <c r="O21" s="415"/>
    </row>
    <row r="22" spans="1:15">
      <c r="A22" s="1214" t="s">
        <v>1363</v>
      </c>
      <c r="B22" s="1242">
        <f>+FER!C35</f>
        <v>5989.8280000000004</v>
      </c>
      <c r="C22" s="1242">
        <f>+FER!D35</f>
        <v>4972.7250000000004</v>
      </c>
      <c r="D22" s="1242">
        <f>+FER!E35</f>
        <v>4839.6000000000004</v>
      </c>
      <c r="E22" s="1242">
        <f>+FER!F35</f>
        <v>4343.4449999999997</v>
      </c>
      <c r="F22" s="1242">
        <f>+FER!G35</f>
        <v>3838.8989999999999</v>
      </c>
      <c r="G22" s="1242">
        <f>+FER!H35</f>
        <v>3584.5630000000001</v>
      </c>
      <c r="H22" s="1242">
        <f>+FER!I35</f>
        <v>4307</v>
      </c>
      <c r="I22" s="1242">
        <f>+FER!J35</f>
        <v>3245.2919999999999</v>
      </c>
      <c r="J22" s="1229">
        <f t="shared" ref="J22:O22" si="4">+I27</f>
        <v>3245.2919999999999</v>
      </c>
      <c r="K22" s="1229">
        <f t="shared" si="4"/>
        <v>2513.7392193743467</v>
      </c>
      <c r="L22" s="1229">
        <f t="shared" si="4"/>
        <v>2256.5435809599044</v>
      </c>
      <c r="M22" s="1229">
        <f t="shared" si="4"/>
        <v>2500.0078313597523</v>
      </c>
      <c r="N22" s="1229">
        <f t="shared" si="4"/>
        <v>3276.1280889486916</v>
      </c>
      <c r="O22" s="1278">
        <f t="shared" si="4"/>
        <v>4616.7986496477524</v>
      </c>
    </row>
    <row r="23" spans="1:15">
      <c r="A23" s="1214" t="s">
        <v>1364</v>
      </c>
      <c r="B23" s="1242">
        <f>-'Anexo 3 - FC'!C5</f>
        <v>-427.52499999999998</v>
      </c>
      <c r="C23" s="1242">
        <f>-'Anexo 3 - FC'!D5</f>
        <v>-456.274</v>
      </c>
      <c r="D23" s="1242">
        <f>-'Anexo 3 - FC'!E5</f>
        <v>-439.75099999999998</v>
      </c>
      <c r="E23" s="1242">
        <f>-'Anexo 3 - FC'!F5</f>
        <v>-479.72699999999998</v>
      </c>
      <c r="F23" s="1242">
        <f>-'Anexo 3 - FC'!G5</f>
        <v>-381.26100000000002</v>
      </c>
      <c r="G23" s="1242">
        <f>-'Anexo 3 - FC'!H5</f>
        <v>-342</v>
      </c>
      <c r="H23" s="1242">
        <f>-'Anexo 3 - FC'!I5</f>
        <v>-281</v>
      </c>
      <c r="I23" s="1242">
        <f>-'Anexo 3 - FC'!J5</f>
        <v>-193.89</v>
      </c>
      <c r="J23" s="1268">
        <f t="shared" ref="J23:O23" si="5">-(I27*J29)</f>
        <v>-202.14114999999998</v>
      </c>
      <c r="K23" s="1268">
        <f t="shared" si="5"/>
        <v>-162.96572880479582</v>
      </c>
      <c r="L23" s="1268">
        <f t="shared" si="5"/>
        <v>-152.02899265040796</v>
      </c>
      <c r="M23" s="1268">
        <f t="shared" si="5"/>
        <v>-174.78805509434542</v>
      </c>
      <c r="N23" s="1268">
        <f t="shared" si="5"/>
        <v>-237.38005596165357</v>
      </c>
      <c r="O23" s="1278">
        <f t="shared" si="5"/>
        <v>-346.25989872358144</v>
      </c>
    </row>
    <row r="24" spans="1:15">
      <c r="A24" s="1214" t="s">
        <v>1365</v>
      </c>
      <c r="B24" s="1242">
        <f>+'Anexo 4 - FCL'!B9</f>
        <v>700.51500000000067</v>
      </c>
      <c r="C24" s="1242">
        <f>+'Anexo 4 - FCL'!C9</f>
        <v>-560.82900000000006</v>
      </c>
      <c r="D24" s="1242">
        <f>+'Anexo 4 - FCL'!D9</f>
        <v>306.62599999999998</v>
      </c>
      <c r="E24" s="1242">
        <f>+'Anexo 4 - FCL'!E9</f>
        <v>-16.428000000000679</v>
      </c>
      <c r="F24" s="1242">
        <f>+'Anexo 4 - FCL'!F9</f>
        <v>-123.2849999999998</v>
      </c>
      <c r="G24" s="1242">
        <f>+'Anexo 4 - FCL'!G9</f>
        <v>87.664000000000215</v>
      </c>
      <c r="H24" s="1242">
        <f>+'Anexo 4 - FCL'!H9</f>
        <v>1003.4369999999999</v>
      </c>
      <c r="I24" s="1242">
        <f>+'Anexo 4 - FCL'!I9</f>
        <v>-867.8180000000001</v>
      </c>
      <c r="J24" s="1275">
        <f>+J30*'Estados Financieros (P)'!J7</f>
        <v>-529.41163062565317</v>
      </c>
      <c r="K24" s="1275">
        <f>+K30*'Estados Financieros (P)'!K7</f>
        <v>-94.229909609646882</v>
      </c>
      <c r="L24" s="1275">
        <f>+L30*'Estados Financieros (P)'!L7</f>
        <v>395.49324305025607</v>
      </c>
      <c r="M24" s="1275">
        <f>+M30*'Estados Financieros (P)'!M7</f>
        <v>950.90831268328498</v>
      </c>
      <c r="N24" s="1275">
        <f>+N30*'Estados Financieros (P)'!N7</f>
        <v>1578.050616660714</v>
      </c>
      <c r="O24" s="1280">
        <f>+O30*'Estados Financieros (P)'!O7</f>
        <v>2287.5561630522361</v>
      </c>
    </row>
    <row r="25" spans="1:15">
      <c r="A25" s="1214" t="s">
        <v>1366</v>
      </c>
      <c r="C25" s="64"/>
      <c r="D25" s="64"/>
      <c r="E25" s="64"/>
      <c r="F25" s="64"/>
      <c r="G25" s="64"/>
      <c r="H25" s="64"/>
      <c r="I25" s="64"/>
      <c r="O25" s="415"/>
    </row>
    <row r="26" spans="1:15">
      <c r="A26" s="1214" t="s">
        <v>370</v>
      </c>
      <c r="B26" s="1229">
        <f>+B27-B22-B23-B24</f>
        <v>-272.99000000000069</v>
      </c>
      <c r="C26" s="1229">
        <f t="shared" ref="C26:I26" si="6">+C27-C22-C23-C24</f>
        <v>1017.1030000000001</v>
      </c>
      <c r="D26" s="1229">
        <f t="shared" si="6"/>
        <v>133.125</v>
      </c>
      <c r="E26" s="1229">
        <f t="shared" si="6"/>
        <v>496.15500000000065</v>
      </c>
      <c r="F26" s="1229">
        <f t="shared" si="6"/>
        <v>504.54599999999982</v>
      </c>
      <c r="G26" s="1229">
        <f t="shared" si="6"/>
        <v>254.33599999999979</v>
      </c>
      <c r="H26" s="1229">
        <f t="shared" si="6"/>
        <v>-722.4369999999999</v>
      </c>
      <c r="I26" s="1229">
        <f t="shared" si="6"/>
        <v>1061.7080000000001</v>
      </c>
      <c r="O26" s="415"/>
    </row>
    <row r="27" spans="1:15">
      <c r="A27" s="1252" t="s">
        <v>1363</v>
      </c>
      <c r="B27" s="1247">
        <f>+'Estados Financieros (P)'!B44</f>
        <v>5989.8280000000004</v>
      </c>
      <c r="C27" s="1247">
        <f>+'Estados Financieros (P)'!C44</f>
        <v>4972.7250000000004</v>
      </c>
      <c r="D27" s="1247">
        <f>+'Estados Financieros (P)'!D44</f>
        <v>4839.6000000000004</v>
      </c>
      <c r="E27" s="1247">
        <f>+'Estados Financieros (P)'!E44</f>
        <v>4343.4449999999997</v>
      </c>
      <c r="F27" s="1247">
        <f>+'Estados Financieros (P)'!F44</f>
        <v>3838.8989999999999</v>
      </c>
      <c r="G27" s="1247">
        <f>+'Estados Financieros (P)'!G44</f>
        <v>3584.5630000000001</v>
      </c>
      <c r="H27" s="1247">
        <f>+'Estados Financieros (P)'!H44</f>
        <v>4307</v>
      </c>
      <c r="I27" s="1247">
        <f>+'Estados Financieros (P)'!I44</f>
        <v>3245.2919999999999</v>
      </c>
      <c r="J27" s="1247">
        <f t="shared" ref="J27:O27" si="7">+SUM(J22:J26)</f>
        <v>2513.7392193743467</v>
      </c>
      <c r="K27" s="1247">
        <f t="shared" si="7"/>
        <v>2256.5435809599044</v>
      </c>
      <c r="L27" s="1247">
        <f t="shared" si="7"/>
        <v>2500.0078313597523</v>
      </c>
      <c r="M27" s="1247">
        <f t="shared" si="7"/>
        <v>3276.1280889486916</v>
      </c>
      <c r="N27" s="1247">
        <f t="shared" si="7"/>
        <v>4616.7986496477524</v>
      </c>
      <c r="O27" s="1231">
        <f t="shared" si="7"/>
        <v>6558.094913976407</v>
      </c>
    </row>
    <row r="28" spans="1:15">
      <c r="O28" s="415"/>
    </row>
    <row r="29" spans="1:15">
      <c r="A29" s="1214" t="s">
        <v>1367</v>
      </c>
      <c r="B29" s="701">
        <f>+-(B23/B22)</f>
        <v>7.1375171373869159E-2</v>
      </c>
      <c r="C29" s="701">
        <f t="shared" ref="C29:I29" si="8">+-(C23/C22)</f>
        <v>9.1755325299508819E-2</v>
      </c>
      <c r="D29" s="701">
        <f t="shared" si="8"/>
        <v>9.086515414497065E-2</v>
      </c>
      <c r="E29" s="701">
        <f t="shared" si="8"/>
        <v>0.11044850343448576</v>
      </c>
      <c r="F29" s="701">
        <f t="shared" si="8"/>
        <v>9.9315194278359512E-2</v>
      </c>
      <c r="G29" s="701">
        <f t="shared" si="8"/>
        <v>9.5409119605374487E-2</v>
      </c>
      <c r="H29" s="701">
        <f t="shared" si="8"/>
        <v>6.5242628279544926E-2</v>
      </c>
      <c r="I29" s="701">
        <f t="shared" si="8"/>
        <v>5.9745009077765573E-2</v>
      </c>
      <c r="J29" s="701">
        <f>+I29+($O$29-$I$29)/6</f>
        <v>6.2287507564804646E-2</v>
      </c>
      <c r="K29" s="701">
        <f>+J29+($O$29-$I$29)/6</f>
        <v>6.4830006051843719E-2</v>
      </c>
      <c r="L29" s="701">
        <f>+K29+($O$29-$I$29)/6</f>
        <v>6.7372504538882785E-2</v>
      </c>
      <c r="M29" s="701">
        <f>+L29+($O$29-$I$29)/6</f>
        <v>6.9915003025921851E-2</v>
      </c>
      <c r="N29" s="701">
        <f>+M29+($O$29-$I$29)/6</f>
        <v>7.2457501512960917E-2</v>
      </c>
      <c r="O29" s="1281">
        <v>7.4999999999999997E-2</v>
      </c>
    </row>
    <row r="30" spans="1:15">
      <c r="A30" s="1214" t="s">
        <v>1368</v>
      </c>
      <c r="B30" s="701">
        <f>+B24/'Estados Financieros (P)'!B7</f>
        <v>1.0264665621866734E-2</v>
      </c>
      <c r="C30" s="701">
        <f>+C24/'Estados Financieros (P)'!C7</f>
        <v>-7.3772619550517005E-3</v>
      </c>
      <c r="D30" s="701">
        <f>+D24/'Estados Financieros (P)'!D7</f>
        <v>3.8382323977577712E-3</v>
      </c>
      <c r="E30" s="701">
        <f>+E24/'Estados Financieros (P)'!E7</f>
        <v>-1.9156339553745536E-4</v>
      </c>
      <c r="F30" s="701">
        <f>+F24/'Estados Financieros (P)'!F7</f>
        <v>-1.3526114336891231E-3</v>
      </c>
      <c r="G30" s="701">
        <f>+G24/'Estados Financieros (P)'!G7</f>
        <v>9.474168824168067E-4</v>
      </c>
      <c r="H30" s="701">
        <f>+H24/'Estados Financieros (P)'!H7</f>
        <v>1.0064233600362354E-2</v>
      </c>
      <c r="I30" s="701">
        <f>+I24/'Estados Financieros (P)'!I7</f>
        <v>-8.6852715241995098E-3</v>
      </c>
      <c r="J30" s="701">
        <f>+I30+($O$30-$I$30)/6</f>
        <v>-4.7377262701662577E-3</v>
      </c>
      <c r="K30" s="701">
        <f>+J30+($O$30-$I$30)/6</f>
        <v>-7.9018101613300556E-4</v>
      </c>
      <c r="L30" s="701">
        <f>+K30+($O$30-$I$30)/6</f>
        <v>3.1573642379002466E-3</v>
      </c>
      <c r="M30" s="701">
        <f>+L30+($O$30-$I$30)/6</f>
        <v>7.1049094919334987E-3</v>
      </c>
      <c r="N30" s="701">
        <f>+M30+($O$30-$I$30)/6</f>
        <v>1.105245474596675E-2</v>
      </c>
      <c r="O30" s="1281">
        <v>1.4999999999999999E-2</v>
      </c>
    </row>
    <row r="31" spans="1:15">
      <c r="O31" s="415"/>
    </row>
    <row r="32" spans="1:15">
      <c r="A32" s="1213" t="s">
        <v>1369</v>
      </c>
      <c r="O32" s="415"/>
    </row>
    <row r="33" spans="1:15">
      <c r="A33" s="1214" t="s">
        <v>1370</v>
      </c>
      <c r="B33" s="1242">
        <f>'Anexo 1 - Balance'!B89</f>
        <v>0</v>
      </c>
      <c r="C33" s="1229">
        <f>+B36</f>
        <v>0</v>
      </c>
      <c r="D33" s="1229">
        <f t="shared" ref="D33:I33" si="9">+C36</f>
        <v>0</v>
      </c>
      <c r="E33" s="1229">
        <f t="shared" si="9"/>
        <v>0</v>
      </c>
      <c r="F33" s="1229">
        <f t="shared" si="9"/>
        <v>0</v>
      </c>
      <c r="G33" s="1229">
        <f t="shared" si="9"/>
        <v>0</v>
      </c>
      <c r="H33" s="1229">
        <f t="shared" si="9"/>
        <v>0</v>
      </c>
      <c r="I33" s="1229">
        <f t="shared" si="9"/>
        <v>1244</v>
      </c>
      <c r="J33" s="1242">
        <f t="shared" ref="J33:O33" si="10">+I36</f>
        <v>1124.2070000000001</v>
      </c>
      <c r="K33" s="1242">
        <f t="shared" si="10"/>
        <v>1032.2145148191319</v>
      </c>
      <c r="L33" s="1242">
        <f t="shared" si="10"/>
        <v>958.44934571348813</v>
      </c>
      <c r="M33" s="1242">
        <f t="shared" si="10"/>
        <v>899.89071024648354</v>
      </c>
      <c r="N33" s="1242">
        <f t="shared" si="10"/>
        <v>854.23789455222663</v>
      </c>
      <c r="O33" s="1258">
        <f t="shared" si="10"/>
        <v>819.75593645340018</v>
      </c>
    </row>
    <row r="34" spans="1:15">
      <c r="A34" s="1214" t="s">
        <v>1371</v>
      </c>
      <c r="B34" s="1242">
        <f>-'Anexo 3 - FC'!C6</f>
        <v>0</v>
      </c>
      <c r="C34" s="1242">
        <f>-'Anexo 3 - FC'!D6</f>
        <v>-0.221</v>
      </c>
      <c r="D34" s="1242">
        <f>-'Anexo 3 - FC'!E6</f>
        <v>0</v>
      </c>
      <c r="E34" s="1242">
        <f>-'Anexo 3 - FC'!F6</f>
        <v>0</v>
      </c>
      <c r="F34" s="1242">
        <f>-'Anexo 3 - FC'!G6</f>
        <v>0</v>
      </c>
      <c r="G34" s="1242">
        <f>-'Anexo 3 - FC'!H6</f>
        <v>-21</v>
      </c>
      <c r="H34" s="1242">
        <f>-'Anexo 3 - FC'!I6</f>
        <v>-37</v>
      </c>
      <c r="I34" s="1242">
        <f>-'Anexo 3 - FC'!J6</f>
        <v>-114.69</v>
      </c>
      <c r="J34" s="715">
        <f t="shared" ref="J34:O34" si="11">-(J33*J38)</f>
        <v>-91.992485180868172</v>
      </c>
      <c r="K34" s="715">
        <f t="shared" si="11"/>
        <v>-73.76516910564375</v>
      </c>
      <c r="L34" s="715">
        <f t="shared" si="11"/>
        <v>-58.558635467004557</v>
      </c>
      <c r="M34" s="715">
        <f t="shared" si="11"/>
        <v>-45.652815694256901</v>
      </c>
      <c r="N34" s="715">
        <f t="shared" si="11"/>
        <v>-34.481958098826425</v>
      </c>
      <c r="O34" s="1282">
        <f t="shared" si="11"/>
        <v>-24.592678093602004</v>
      </c>
    </row>
    <row r="35" spans="1:15">
      <c r="A35" s="1214" t="s">
        <v>1372</v>
      </c>
      <c r="B35" s="1242">
        <f>+B36-B33-B34</f>
        <v>0</v>
      </c>
      <c r="C35" s="1242">
        <f>+C36-C33-C34</f>
        <v>0.221</v>
      </c>
      <c r="D35" s="1242">
        <f t="shared" ref="D35:I35" si="12">+D36-D33-D34</f>
        <v>0</v>
      </c>
      <c r="E35" s="1242">
        <f t="shared" si="12"/>
        <v>0</v>
      </c>
      <c r="F35" s="1242">
        <f t="shared" si="12"/>
        <v>0</v>
      </c>
      <c r="G35" s="1242">
        <f t="shared" si="12"/>
        <v>21</v>
      </c>
      <c r="H35" s="1242">
        <f t="shared" si="12"/>
        <v>1281</v>
      </c>
      <c r="I35" s="1242">
        <f t="shared" si="12"/>
        <v>-5.102999999999895</v>
      </c>
      <c r="O35" s="415"/>
    </row>
    <row r="36" spans="1:15">
      <c r="A36" s="1252" t="s">
        <v>1370</v>
      </c>
      <c r="B36" s="1254">
        <f>'Anexo 1 - Balance'!C89</f>
        <v>0</v>
      </c>
      <c r="C36" s="1254">
        <f>'Anexo 1 - Balance'!D89</f>
        <v>0</v>
      </c>
      <c r="D36" s="1254">
        <f>'Anexo 1 - Balance'!E89</f>
        <v>0</v>
      </c>
      <c r="E36" s="1254">
        <f>'Anexo 1 - Balance'!F89</f>
        <v>0</v>
      </c>
      <c r="F36" s="1254">
        <f>'Anexo 1 - Balance'!G89</f>
        <v>0</v>
      </c>
      <c r="G36" s="1254">
        <f>'Anexo 1 - Balance'!H89</f>
        <v>0</v>
      </c>
      <c r="H36" s="1254">
        <f>'Anexo 1 - Balance'!I89</f>
        <v>1244</v>
      </c>
      <c r="I36" s="1254">
        <f>'Anexo 1 - Balance'!J89</f>
        <v>1124.2070000000001</v>
      </c>
      <c r="J36" s="1254">
        <f t="shared" ref="J36:O36" si="13">+SUM(J33:J35)</f>
        <v>1032.2145148191319</v>
      </c>
      <c r="K36" s="1254">
        <f t="shared" si="13"/>
        <v>958.44934571348813</v>
      </c>
      <c r="L36" s="1254">
        <f t="shared" si="13"/>
        <v>899.89071024648354</v>
      </c>
      <c r="M36" s="1254">
        <f t="shared" si="13"/>
        <v>854.23789455222663</v>
      </c>
      <c r="N36" s="1254">
        <f t="shared" si="13"/>
        <v>819.75593645340018</v>
      </c>
      <c r="O36" s="1259">
        <f t="shared" si="13"/>
        <v>795.16325835979819</v>
      </c>
    </row>
    <row r="37" spans="1:15">
      <c r="O37" s="415"/>
    </row>
    <row r="38" spans="1:15">
      <c r="A38" s="1214" t="s">
        <v>1373</v>
      </c>
      <c r="B38" s="701">
        <f>-IFERROR(B34/B33,0)</f>
        <v>0</v>
      </c>
      <c r="C38" s="701">
        <f t="shared" ref="C38:I38" si="14">-IFERROR(C34/C33,0)</f>
        <v>0</v>
      </c>
      <c r="D38" s="701">
        <f t="shared" si="14"/>
        <v>0</v>
      </c>
      <c r="E38" s="701">
        <f t="shared" si="14"/>
        <v>0</v>
      </c>
      <c r="F38" s="701">
        <f t="shared" si="14"/>
        <v>0</v>
      </c>
      <c r="G38" s="701">
        <f t="shared" si="14"/>
        <v>0</v>
      </c>
      <c r="H38" s="701">
        <f t="shared" si="14"/>
        <v>0</v>
      </c>
      <c r="I38" s="701">
        <f t="shared" si="14"/>
        <v>9.219453376205787E-2</v>
      </c>
      <c r="J38" s="1240">
        <f>+I38+($O$38-$I$38)/6</f>
        <v>8.1828778135048227E-2</v>
      </c>
      <c r="K38" s="1240">
        <f>+J38+($O$38-$I$38)/6</f>
        <v>7.1463022508038584E-2</v>
      </c>
      <c r="L38" s="1240">
        <f>+K38+($O$38-$I$38)/6</f>
        <v>6.1097266881028942E-2</v>
      </c>
      <c r="M38" s="1240">
        <f>+L38+($O$38-$I$38)/6</f>
        <v>5.0731511254019299E-2</v>
      </c>
      <c r="N38" s="1240">
        <f>+M38+($O$38-$I$38)/6</f>
        <v>4.0365755627009656E-2</v>
      </c>
      <c r="O38" s="1281">
        <v>0.03</v>
      </c>
    </row>
    <row r="39" spans="1:15">
      <c r="O39" s="415"/>
    </row>
    <row r="40" spans="1:15">
      <c r="A40" s="17" t="s">
        <v>1374</v>
      </c>
      <c r="O40" s="415"/>
    </row>
    <row r="41" spans="1:15">
      <c r="A41" s="64" t="s">
        <v>1411</v>
      </c>
      <c r="B41" s="1229">
        <f>+'Estados Financieros (P)'!B41-'Estados Financieros (P)'!B36</f>
        <v>58656.194000000003</v>
      </c>
      <c r="C41" s="1229">
        <f>+'Estados Financieros (P)'!C41-'Estados Financieros (P)'!C36</f>
        <v>76763.275999999998</v>
      </c>
      <c r="D41" s="1229">
        <f>+'Estados Financieros (P)'!D41-'Estados Financieros (P)'!D36</f>
        <v>32103.236999999997</v>
      </c>
      <c r="E41" s="1229">
        <f>+'Estados Financieros (P)'!E41-'Estados Financieros (P)'!E36</f>
        <v>34978.380000000005</v>
      </c>
      <c r="F41" s="1229">
        <f>+'Estados Financieros (P)'!F41-'Estados Financieros (P)'!F36</f>
        <v>38940.662000000004</v>
      </c>
      <c r="G41" s="1229">
        <f>+'Estados Financieros (P)'!G41-'Estados Financieros (P)'!G36</f>
        <v>42186.011000000006</v>
      </c>
      <c r="H41" s="1229">
        <f>+'Estados Financieros (P)'!H41-'Estados Financieros (P)'!H36</f>
        <v>53863</v>
      </c>
      <c r="I41" s="1229">
        <f>+'Estados Financieros (P)'!I41-'Estados Financieros (P)'!I36</f>
        <v>81674.703999999998</v>
      </c>
      <c r="J41" s="1229">
        <f ca="1">+'Estados Financieros (P)'!J41-'Estados Financieros (P)'!J36</f>
        <v>87038.14774164946</v>
      </c>
      <c r="K41" s="1229">
        <f ca="1">+'Estados Financieros (P)'!K41-'Estados Financieros (P)'!K36</f>
        <v>88472.175630557467</v>
      </c>
      <c r="L41" s="1229">
        <f ca="1">+'Estados Financieros (P)'!L41-'Estados Financieros (P)'!L36</f>
        <v>88355.743109634976</v>
      </c>
      <c r="M41" s="1229">
        <f ca="1">+'Estados Financieros (P)'!M41-'Estados Financieros (P)'!M36</f>
        <v>89473.830461005491</v>
      </c>
      <c r="N41" s="1229">
        <f ca="1">+'Estados Financieros (P)'!N41-'Estados Financieros (P)'!N36</f>
        <v>90207.533757193436</v>
      </c>
      <c r="O41" s="1278">
        <f ca="1">+'Estados Financieros (P)'!O41-'Estados Financieros (P)'!O36</f>
        <v>90761.774226661117</v>
      </c>
    </row>
    <row r="42" spans="1:15">
      <c r="A42" s="64" t="s">
        <v>1109</v>
      </c>
      <c r="B42" s="1229">
        <f>+'Estados Financieros (P)'!B61</f>
        <v>17585.662</v>
      </c>
      <c r="C42" s="1229">
        <f>+'Estados Financieros (P)'!C61</f>
        <v>21980.03</v>
      </c>
      <c r="D42" s="1229">
        <f>+'Estados Financieros (P)'!D61</f>
        <v>21346.821</v>
      </c>
      <c r="E42" s="1229">
        <f>+'Estados Financieros (P)'!E61</f>
        <v>36723.341</v>
      </c>
      <c r="F42" s="1229">
        <f>+'Estados Financieros (P)'!F61</f>
        <v>36546.247000000003</v>
      </c>
      <c r="G42" s="1229">
        <f>+'Estados Financieros (P)'!G61</f>
        <v>23889.449000000001</v>
      </c>
      <c r="H42" s="1229">
        <f>+'Estados Financieros (P)'!H61</f>
        <v>44286</v>
      </c>
      <c r="I42" s="1229">
        <f>+'Estados Financieros (P)'!I61</f>
        <v>65954.035999999993</v>
      </c>
      <c r="J42" s="1229">
        <f>+'Estados Financieros (P)'!J61</f>
        <v>68905.599446169537</v>
      </c>
      <c r="K42" s="1229">
        <f>+'Estados Financieros (P)'!K61</f>
        <v>72410.875802431518</v>
      </c>
      <c r="L42" s="1229">
        <f>+'Estados Financieros (P)'!L61</f>
        <v>75238.80714343315</v>
      </c>
      <c r="M42" s="1229">
        <f>+'Estados Financieros (P)'!M61</f>
        <v>79509.619115497306</v>
      </c>
      <c r="N42" s="1229">
        <f>+'Estados Financieros (P)'!N61</f>
        <v>84038.163185161378</v>
      </c>
      <c r="O42" s="1278">
        <f>+'Estados Financieros (P)'!O61</f>
        <v>89060.597502160439</v>
      </c>
    </row>
    <row r="43" spans="1:15">
      <c r="A43" s="1274" t="s">
        <v>443</v>
      </c>
      <c r="B43" s="1247">
        <f t="shared" ref="B43:O43" si="15">+B41-B42</f>
        <v>41070.532000000007</v>
      </c>
      <c r="C43" s="1247">
        <f t="shared" si="15"/>
        <v>54783.245999999999</v>
      </c>
      <c r="D43" s="1247">
        <f t="shared" si="15"/>
        <v>10756.415999999997</v>
      </c>
      <c r="E43" s="1247">
        <f t="shared" si="15"/>
        <v>-1744.9609999999957</v>
      </c>
      <c r="F43" s="1247">
        <f t="shared" si="15"/>
        <v>2394.4150000000009</v>
      </c>
      <c r="G43" s="1247">
        <f t="shared" si="15"/>
        <v>18296.562000000005</v>
      </c>
      <c r="H43" s="1247">
        <f t="shared" si="15"/>
        <v>9577</v>
      </c>
      <c r="I43" s="1247">
        <f t="shared" si="15"/>
        <v>15720.668000000005</v>
      </c>
      <c r="J43" s="1247">
        <f t="shared" ca="1" si="15"/>
        <v>18132.548295479923</v>
      </c>
      <c r="K43" s="1247">
        <f t="shared" ca="1" si="15"/>
        <v>16061.29982812595</v>
      </c>
      <c r="L43" s="1247">
        <f t="shared" ca="1" si="15"/>
        <v>13116.935966201825</v>
      </c>
      <c r="M43" s="1247">
        <f t="shared" ca="1" si="15"/>
        <v>9964.2113455081853</v>
      </c>
      <c r="N43" s="1247">
        <f t="shared" ca="1" si="15"/>
        <v>6169.3705720320577</v>
      </c>
      <c r="O43" s="1231">
        <f t="shared" ca="1" si="15"/>
        <v>1701.1767245006777</v>
      </c>
    </row>
    <row r="44" spans="1:15" ht="15.75" thickBot="1">
      <c r="A44" s="1283" t="s">
        <v>1375</v>
      </c>
      <c r="B44" s="1284">
        <f>+'[5]Estados Financieros'!$B$169</f>
        <v>755.76799999999639</v>
      </c>
      <c r="C44" s="1285">
        <f>+B43-C43</f>
        <v>-13712.713999999993</v>
      </c>
      <c r="D44" s="1285">
        <f t="shared" ref="D44:I44" si="16">+C43-D43</f>
        <v>44026.83</v>
      </c>
      <c r="E44" s="1285">
        <f t="shared" si="16"/>
        <v>12501.376999999993</v>
      </c>
      <c r="F44" s="1285">
        <f t="shared" si="16"/>
        <v>-4139.3759999999966</v>
      </c>
      <c r="G44" s="1285">
        <f t="shared" si="16"/>
        <v>-15902.147000000004</v>
      </c>
      <c r="H44" s="1285">
        <f t="shared" si="16"/>
        <v>8719.5620000000054</v>
      </c>
      <c r="I44" s="1285">
        <f t="shared" si="16"/>
        <v>-6143.6680000000051</v>
      </c>
      <c r="J44" s="1285">
        <f t="shared" ref="J44:O44" ca="1" si="17">+I43-J43</f>
        <v>-2411.8802954799175</v>
      </c>
      <c r="K44" s="1285">
        <f t="shared" ca="1" si="17"/>
        <v>2071.248467353973</v>
      </c>
      <c r="L44" s="1285">
        <f t="shared" ca="1" si="17"/>
        <v>2944.3638619241246</v>
      </c>
      <c r="M44" s="1285">
        <f t="shared" ca="1" si="17"/>
        <v>3152.7246206936397</v>
      </c>
      <c r="N44" s="1285">
        <f t="shared" ca="1" si="17"/>
        <v>3794.8407734761277</v>
      </c>
      <c r="O44" s="1286">
        <f t="shared" ca="1" si="17"/>
        <v>4468.19384753138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8"/>
  <sheetViews>
    <sheetView zoomScale="90" zoomScaleNormal="90" workbookViewId="0">
      <pane ySplit="3" topLeftCell="A10" activePane="bottomLeft" state="frozen"/>
      <selection pane="bottomLeft" activeCell="B4" sqref="B4:N63"/>
    </sheetView>
  </sheetViews>
  <sheetFormatPr baseColWidth="10" defaultRowHeight="15"/>
  <cols>
    <col min="1" max="1" width="11.42578125" style="64"/>
  </cols>
  <sheetData>
    <row r="1" spans="2:14" s="21" customFormat="1" ht="15.75">
      <c r="B1" s="1524" t="s">
        <v>494</v>
      </c>
      <c r="C1" s="1524"/>
      <c r="D1" s="1524"/>
      <c r="E1" s="1524"/>
      <c r="F1" s="1524"/>
      <c r="G1" s="1524"/>
      <c r="H1" s="1524"/>
      <c r="I1" s="1524"/>
      <c r="J1" s="1524"/>
      <c r="K1" s="1524"/>
      <c r="L1" s="1524"/>
      <c r="M1" s="1524"/>
      <c r="N1" s="1524"/>
    </row>
    <row r="2" spans="2:14" s="21" customFormat="1" ht="15.75">
      <c r="B2" s="1524"/>
      <c r="C2" s="1524"/>
      <c r="D2" s="1524"/>
      <c r="E2" s="1524"/>
      <c r="F2" s="1524"/>
      <c r="G2" s="1524"/>
      <c r="H2" s="1524"/>
      <c r="I2" s="1524"/>
      <c r="J2" s="1524"/>
      <c r="K2" s="1524"/>
      <c r="L2" s="1524"/>
      <c r="M2" s="1524"/>
      <c r="N2" s="1524"/>
    </row>
    <row r="3" spans="2:14" s="21" customFormat="1" ht="16.5" thickBot="1">
      <c r="B3" s="1524" t="s">
        <v>495</v>
      </c>
      <c r="C3" s="1524"/>
      <c r="D3" s="1524"/>
      <c r="E3" s="1524"/>
      <c r="F3" s="1524"/>
      <c r="G3" s="1524"/>
      <c r="H3" s="1524"/>
      <c r="I3" s="1524"/>
      <c r="J3" s="1524"/>
      <c r="K3" s="1524"/>
      <c r="L3" s="1524"/>
      <c r="M3" s="1524"/>
      <c r="N3" s="1524"/>
    </row>
    <row r="4" spans="2:14" s="21" customFormat="1" ht="75" customHeight="1" thickTop="1">
      <c r="B4" s="1525"/>
      <c r="C4" s="1526"/>
      <c r="D4" s="1526"/>
      <c r="E4" s="1526"/>
      <c r="F4" s="1526"/>
      <c r="G4" s="1526"/>
      <c r="H4" s="1526"/>
      <c r="I4" s="1526"/>
      <c r="J4" s="1526"/>
      <c r="K4" s="1526"/>
      <c r="L4" s="1526"/>
      <c r="M4" s="1526"/>
      <c r="N4" s="1527"/>
    </row>
    <row r="5" spans="2:14" s="21" customFormat="1">
      <c r="B5" s="1528"/>
      <c r="C5" s="1529"/>
      <c r="D5" s="1529"/>
      <c r="E5" s="1529"/>
      <c r="F5" s="1529"/>
      <c r="G5" s="1529"/>
      <c r="H5" s="1529"/>
      <c r="I5" s="1529"/>
      <c r="J5" s="1529"/>
      <c r="K5" s="1529"/>
      <c r="L5" s="1529"/>
      <c r="M5" s="1529"/>
      <c r="N5" s="1530"/>
    </row>
    <row r="6" spans="2:14" s="21" customFormat="1">
      <c r="B6" s="1528"/>
      <c r="C6" s="1529"/>
      <c r="D6" s="1529"/>
      <c r="E6" s="1529"/>
      <c r="F6" s="1529"/>
      <c r="G6" s="1529"/>
      <c r="H6" s="1529"/>
      <c r="I6" s="1529"/>
      <c r="J6" s="1529"/>
      <c r="K6" s="1529"/>
      <c r="L6" s="1529"/>
      <c r="M6" s="1529"/>
      <c r="N6" s="1530"/>
    </row>
    <row r="7" spans="2:14" s="21" customFormat="1">
      <c r="B7" s="1528"/>
      <c r="C7" s="1529"/>
      <c r="D7" s="1529"/>
      <c r="E7" s="1529"/>
      <c r="F7" s="1529"/>
      <c r="G7" s="1529"/>
      <c r="H7" s="1529"/>
      <c r="I7" s="1529"/>
      <c r="J7" s="1529"/>
      <c r="K7" s="1529"/>
      <c r="L7" s="1529"/>
      <c r="M7" s="1529"/>
      <c r="N7" s="1530"/>
    </row>
    <row r="8" spans="2:14" s="21" customFormat="1">
      <c r="B8" s="1528"/>
      <c r="C8" s="1529"/>
      <c r="D8" s="1529"/>
      <c r="E8" s="1529"/>
      <c r="F8" s="1529"/>
      <c r="G8" s="1529"/>
      <c r="H8" s="1529"/>
      <c r="I8" s="1529"/>
      <c r="J8" s="1529"/>
      <c r="K8" s="1529"/>
      <c r="L8" s="1529"/>
      <c r="M8" s="1529"/>
      <c r="N8" s="1530"/>
    </row>
    <row r="9" spans="2:14" s="21" customFormat="1">
      <c r="B9" s="1528"/>
      <c r="C9" s="1529"/>
      <c r="D9" s="1529"/>
      <c r="E9" s="1529"/>
      <c r="F9" s="1529"/>
      <c r="G9" s="1529"/>
      <c r="H9" s="1529"/>
      <c r="I9" s="1529"/>
      <c r="J9" s="1529"/>
      <c r="K9" s="1529"/>
      <c r="L9" s="1529"/>
      <c r="M9" s="1529"/>
      <c r="N9" s="1530"/>
    </row>
    <row r="10" spans="2:14" s="21" customFormat="1">
      <c r="B10" s="1528"/>
      <c r="C10" s="1529"/>
      <c r="D10" s="1529"/>
      <c r="E10" s="1529"/>
      <c r="F10" s="1529"/>
      <c r="G10" s="1529"/>
      <c r="H10" s="1529"/>
      <c r="I10" s="1529"/>
      <c r="J10" s="1529"/>
      <c r="K10" s="1529"/>
      <c r="L10" s="1529"/>
      <c r="M10" s="1529"/>
      <c r="N10" s="1530"/>
    </row>
    <row r="11" spans="2:14" s="21" customFormat="1">
      <c r="B11" s="1528"/>
      <c r="C11" s="1529"/>
      <c r="D11" s="1529"/>
      <c r="E11" s="1529"/>
      <c r="F11" s="1529"/>
      <c r="G11" s="1529"/>
      <c r="H11" s="1529"/>
      <c r="I11" s="1529"/>
      <c r="J11" s="1529"/>
      <c r="K11" s="1529"/>
      <c r="L11" s="1529"/>
      <c r="M11" s="1529"/>
      <c r="N11" s="1530"/>
    </row>
    <row r="12" spans="2:14" s="21" customFormat="1">
      <c r="B12" s="1528"/>
      <c r="C12" s="1529"/>
      <c r="D12" s="1529"/>
      <c r="E12" s="1529"/>
      <c r="F12" s="1529"/>
      <c r="G12" s="1529"/>
      <c r="H12" s="1529"/>
      <c r="I12" s="1529"/>
      <c r="J12" s="1529"/>
      <c r="K12" s="1529"/>
      <c r="L12" s="1529"/>
      <c r="M12" s="1529"/>
      <c r="N12" s="1530"/>
    </row>
    <row r="13" spans="2:14" s="21" customFormat="1">
      <c r="B13" s="1528"/>
      <c r="C13" s="1529"/>
      <c r="D13" s="1529"/>
      <c r="E13" s="1529"/>
      <c r="F13" s="1529"/>
      <c r="G13" s="1529"/>
      <c r="H13" s="1529"/>
      <c r="I13" s="1529"/>
      <c r="J13" s="1529"/>
      <c r="K13" s="1529"/>
      <c r="L13" s="1529"/>
      <c r="M13" s="1529"/>
      <c r="N13" s="1530"/>
    </row>
    <row r="14" spans="2:14" s="21" customFormat="1">
      <c r="B14" s="1528"/>
      <c r="C14" s="1529"/>
      <c r="D14" s="1529"/>
      <c r="E14" s="1529"/>
      <c r="F14" s="1529"/>
      <c r="G14" s="1529"/>
      <c r="H14" s="1529"/>
      <c r="I14" s="1529"/>
      <c r="J14" s="1529"/>
      <c r="K14" s="1529"/>
      <c r="L14" s="1529"/>
      <c r="M14" s="1529"/>
      <c r="N14" s="1530"/>
    </row>
    <row r="15" spans="2:14" s="21" customFormat="1">
      <c r="B15" s="1528"/>
      <c r="C15" s="1529"/>
      <c r="D15" s="1529"/>
      <c r="E15" s="1529"/>
      <c r="F15" s="1529"/>
      <c r="G15" s="1529"/>
      <c r="H15" s="1529"/>
      <c r="I15" s="1529"/>
      <c r="J15" s="1529"/>
      <c r="K15" s="1529"/>
      <c r="L15" s="1529"/>
      <c r="M15" s="1529"/>
      <c r="N15" s="1530"/>
    </row>
    <row r="16" spans="2:14" s="21" customFormat="1">
      <c r="B16" s="1528"/>
      <c r="C16" s="1529"/>
      <c r="D16" s="1529"/>
      <c r="E16" s="1529"/>
      <c r="F16" s="1529"/>
      <c r="G16" s="1529"/>
      <c r="H16" s="1529"/>
      <c r="I16" s="1529"/>
      <c r="J16" s="1529"/>
      <c r="K16" s="1529"/>
      <c r="L16" s="1529"/>
      <c r="M16" s="1529"/>
      <c r="N16" s="1530"/>
    </row>
    <row r="17" spans="2:14" s="21" customFormat="1">
      <c r="B17" s="1528"/>
      <c r="C17" s="1529"/>
      <c r="D17" s="1529"/>
      <c r="E17" s="1529"/>
      <c r="F17" s="1529"/>
      <c r="G17" s="1529"/>
      <c r="H17" s="1529"/>
      <c r="I17" s="1529"/>
      <c r="J17" s="1529"/>
      <c r="K17" s="1529"/>
      <c r="L17" s="1529"/>
      <c r="M17" s="1529"/>
      <c r="N17" s="1530"/>
    </row>
    <row r="18" spans="2:14" s="21" customFormat="1">
      <c r="B18" s="1528"/>
      <c r="C18" s="1529"/>
      <c r="D18" s="1529"/>
      <c r="E18" s="1529"/>
      <c r="F18" s="1529"/>
      <c r="G18" s="1529"/>
      <c r="H18" s="1529"/>
      <c r="I18" s="1529"/>
      <c r="J18" s="1529"/>
      <c r="K18" s="1529"/>
      <c r="L18" s="1529"/>
      <c r="M18" s="1529"/>
      <c r="N18" s="1530"/>
    </row>
    <row r="19" spans="2:14" s="21" customFormat="1">
      <c r="B19" s="1528"/>
      <c r="C19" s="1529"/>
      <c r="D19" s="1529"/>
      <c r="E19" s="1529"/>
      <c r="F19" s="1529"/>
      <c r="G19" s="1529"/>
      <c r="H19" s="1529"/>
      <c r="I19" s="1529"/>
      <c r="J19" s="1529"/>
      <c r="K19" s="1529"/>
      <c r="L19" s="1529"/>
      <c r="M19" s="1529"/>
      <c r="N19" s="1530"/>
    </row>
    <row r="20" spans="2:14" s="21" customFormat="1">
      <c r="B20" s="1528"/>
      <c r="C20" s="1529"/>
      <c r="D20" s="1529"/>
      <c r="E20" s="1529"/>
      <c r="F20" s="1529"/>
      <c r="G20" s="1529"/>
      <c r="H20" s="1529"/>
      <c r="I20" s="1529"/>
      <c r="J20" s="1529"/>
      <c r="K20" s="1529"/>
      <c r="L20" s="1529"/>
      <c r="M20" s="1529"/>
      <c r="N20" s="1530"/>
    </row>
    <row r="21" spans="2:14" s="21" customFormat="1">
      <c r="B21" s="1528"/>
      <c r="C21" s="1529"/>
      <c r="D21" s="1529"/>
      <c r="E21" s="1529"/>
      <c r="F21" s="1529"/>
      <c r="G21" s="1529"/>
      <c r="H21" s="1529"/>
      <c r="I21" s="1529"/>
      <c r="J21" s="1529"/>
      <c r="K21" s="1529"/>
      <c r="L21" s="1529"/>
      <c r="M21" s="1529"/>
      <c r="N21" s="1530"/>
    </row>
    <row r="22" spans="2:14" s="21" customFormat="1">
      <c r="B22" s="1528"/>
      <c r="C22" s="1529"/>
      <c r="D22" s="1529"/>
      <c r="E22" s="1529"/>
      <c r="F22" s="1529"/>
      <c r="G22" s="1529"/>
      <c r="H22" s="1529"/>
      <c r="I22" s="1529"/>
      <c r="J22" s="1529"/>
      <c r="K22" s="1529"/>
      <c r="L22" s="1529"/>
      <c r="M22" s="1529"/>
      <c r="N22" s="1530"/>
    </row>
    <row r="23" spans="2:14" s="21" customFormat="1">
      <c r="B23" s="1528"/>
      <c r="C23" s="1529"/>
      <c r="D23" s="1529"/>
      <c r="E23" s="1529"/>
      <c r="F23" s="1529"/>
      <c r="G23" s="1529"/>
      <c r="H23" s="1529"/>
      <c r="I23" s="1529"/>
      <c r="J23" s="1529"/>
      <c r="K23" s="1529"/>
      <c r="L23" s="1529"/>
      <c r="M23" s="1529"/>
      <c r="N23" s="1530"/>
    </row>
    <row r="24" spans="2:14" s="21" customFormat="1">
      <c r="B24" s="1528"/>
      <c r="C24" s="1529"/>
      <c r="D24" s="1529"/>
      <c r="E24" s="1529"/>
      <c r="F24" s="1529"/>
      <c r="G24" s="1529"/>
      <c r="H24" s="1529"/>
      <c r="I24" s="1529"/>
      <c r="J24" s="1529"/>
      <c r="K24" s="1529"/>
      <c r="L24" s="1529"/>
      <c r="M24" s="1529"/>
      <c r="N24" s="1530"/>
    </row>
    <row r="25" spans="2:14" s="21" customFormat="1">
      <c r="B25" s="1528"/>
      <c r="C25" s="1529"/>
      <c r="D25" s="1529"/>
      <c r="E25" s="1529"/>
      <c r="F25" s="1529"/>
      <c r="G25" s="1529"/>
      <c r="H25" s="1529"/>
      <c r="I25" s="1529"/>
      <c r="J25" s="1529"/>
      <c r="K25" s="1529"/>
      <c r="L25" s="1529"/>
      <c r="M25" s="1529"/>
      <c r="N25" s="1530"/>
    </row>
    <row r="26" spans="2:14" s="21" customFormat="1">
      <c r="B26" s="1528"/>
      <c r="C26" s="1529"/>
      <c r="D26" s="1529"/>
      <c r="E26" s="1529"/>
      <c r="F26" s="1529"/>
      <c r="G26" s="1529"/>
      <c r="H26" s="1529"/>
      <c r="I26" s="1529"/>
      <c r="J26" s="1529"/>
      <c r="K26" s="1529"/>
      <c r="L26" s="1529"/>
      <c r="M26" s="1529"/>
      <c r="N26" s="1530"/>
    </row>
    <row r="27" spans="2:14" s="21" customFormat="1">
      <c r="B27" s="1528"/>
      <c r="C27" s="1529"/>
      <c r="D27" s="1529"/>
      <c r="E27" s="1529"/>
      <c r="F27" s="1529"/>
      <c r="G27" s="1529"/>
      <c r="H27" s="1529"/>
      <c r="I27" s="1529"/>
      <c r="J27" s="1529"/>
      <c r="K27" s="1529"/>
      <c r="L27" s="1529"/>
      <c r="M27" s="1529"/>
      <c r="N27" s="1530"/>
    </row>
    <row r="28" spans="2:14" s="21" customFormat="1">
      <c r="B28" s="1528"/>
      <c r="C28" s="1529"/>
      <c r="D28" s="1529"/>
      <c r="E28" s="1529"/>
      <c r="F28" s="1529"/>
      <c r="G28" s="1529"/>
      <c r="H28" s="1529"/>
      <c r="I28" s="1529"/>
      <c r="J28" s="1529"/>
      <c r="K28" s="1529"/>
      <c r="L28" s="1529"/>
      <c r="M28" s="1529"/>
      <c r="N28" s="1530"/>
    </row>
    <row r="29" spans="2:14" s="21" customFormat="1">
      <c r="B29" s="1528"/>
      <c r="C29" s="1529"/>
      <c r="D29" s="1529"/>
      <c r="E29" s="1529"/>
      <c r="F29" s="1529"/>
      <c r="G29" s="1529"/>
      <c r="H29" s="1529"/>
      <c r="I29" s="1529"/>
      <c r="J29" s="1529"/>
      <c r="K29" s="1529"/>
      <c r="L29" s="1529"/>
      <c r="M29" s="1529"/>
      <c r="N29" s="1530"/>
    </row>
    <row r="30" spans="2:14" s="21" customFormat="1">
      <c r="B30" s="1528"/>
      <c r="C30" s="1529"/>
      <c r="D30" s="1529"/>
      <c r="E30" s="1529"/>
      <c r="F30" s="1529"/>
      <c r="G30" s="1529"/>
      <c r="H30" s="1529"/>
      <c r="I30" s="1529"/>
      <c r="J30" s="1529"/>
      <c r="K30" s="1529"/>
      <c r="L30" s="1529"/>
      <c r="M30" s="1529"/>
      <c r="N30" s="1530"/>
    </row>
    <row r="31" spans="2:14" s="21" customFormat="1">
      <c r="B31" s="1528"/>
      <c r="C31" s="1529"/>
      <c r="D31" s="1529"/>
      <c r="E31" s="1529"/>
      <c r="F31" s="1529"/>
      <c r="G31" s="1529"/>
      <c r="H31" s="1529"/>
      <c r="I31" s="1529"/>
      <c r="J31" s="1529"/>
      <c r="K31" s="1529"/>
      <c r="L31" s="1529"/>
      <c r="M31" s="1529"/>
      <c r="N31" s="1530"/>
    </row>
    <row r="32" spans="2:14" s="21" customFormat="1">
      <c r="B32" s="1528"/>
      <c r="C32" s="1529"/>
      <c r="D32" s="1529"/>
      <c r="E32" s="1529"/>
      <c r="F32" s="1529"/>
      <c r="G32" s="1529"/>
      <c r="H32" s="1529"/>
      <c r="I32" s="1529"/>
      <c r="J32" s="1529"/>
      <c r="K32" s="1529"/>
      <c r="L32" s="1529"/>
      <c r="M32" s="1529"/>
      <c r="N32" s="1530"/>
    </row>
    <row r="33" spans="2:14" s="21" customFormat="1">
      <c r="B33" s="1528"/>
      <c r="C33" s="1529"/>
      <c r="D33" s="1529"/>
      <c r="E33" s="1529"/>
      <c r="F33" s="1529"/>
      <c r="G33" s="1529"/>
      <c r="H33" s="1529"/>
      <c r="I33" s="1529"/>
      <c r="J33" s="1529"/>
      <c r="K33" s="1529"/>
      <c r="L33" s="1529"/>
      <c r="M33" s="1529"/>
      <c r="N33" s="1530"/>
    </row>
    <row r="34" spans="2:14" s="21" customFormat="1">
      <c r="B34" s="1528"/>
      <c r="C34" s="1529"/>
      <c r="D34" s="1529"/>
      <c r="E34" s="1529"/>
      <c r="F34" s="1529"/>
      <c r="G34" s="1529"/>
      <c r="H34" s="1529"/>
      <c r="I34" s="1529"/>
      <c r="J34" s="1529"/>
      <c r="K34" s="1529"/>
      <c r="L34" s="1529"/>
      <c r="M34" s="1529"/>
      <c r="N34" s="1530"/>
    </row>
    <row r="35" spans="2:14" s="21" customFormat="1">
      <c r="B35" s="1528"/>
      <c r="C35" s="1529"/>
      <c r="D35" s="1529"/>
      <c r="E35" s="1529"/>
      <c r="F35" s="1529"/>
      <c r="G35" s="1529"/>
      <c r="H35" s="1529"/>
      <c r="I35" s="1529"/>
      <c r="J35" s="1529"/>
      <c r="K35" s="1529"/>
      <c r="L35" s="1529"/>
      <c r="M35" s="1529"/>
      <c r="N35" s="1530"/>
    </row>
    <row r="36" spans="2:14" s="21" customFormat="1">
      <c r="B36" s="1528"/>
      <c r="C36" s="1529"/>
      <c r="D36" s="1529"/>
      <c r="E36" s="1529"/>
      <c r="F36" s="1529"/>
      <c r="G36" s="1529"/>
      <c r="H36" s="1529"/>
      <c r="I36" s="1529"/>
      <c r="J36" s="1529"/>
      <c r="K36" s="1529"/>
      <c r="L36" s="1529"/>
      <c r="M36" s="1529"/>
      <c r="N36" s="1530"/>
    </row>
    <row r="37" spans="2:14" s="21" customFormat="1">
      <c r="B37" s="1528"/>
      <c r="C37" s="1529"/>
      <c r="D37" s="1529"/>
      <c r="E37" s="1529"/>
      <c r="F37" s="1529"/>
      <c r="G37" s="1529"/>
      <c r="H37" s="1529"/>
      <c r="I37" s="1529"/>
      <c r="J37" s="1529"/>
      <c r="K37" s="1529"/>
      <c r="L37" s="1529"/>
      <c r="M37" s="1529"/>
      <c r="N37" s="1530"/>
    </row>
    <row r="38" spans="2:14" s="21" customFormat="1">
      <c r="B38" s="1528"/>
      <c r="C38" s="1529"/>
      <c r="D38" s="1529"/>
      <c r="E38" s="1529"/>
      <c r="F38" s="1529"/>
      <c r="G38" s="1529"/>
      <c r="H38" s="1529"/>
      <c r="I38" s="1529"/>
      <c r="J38" s="1529"/>
      <c r="K38" s="1529"/>
      <c r="L38" s="1529"/>
      <c r="M38" s="1529"/>
      <c r="N38" s="1530"/>
    </row>
    <row r="39" spans="2:14" s="21" customFormat="1">
      <c r="B39" s="1528"/>
      <c r="C39" s="1529"/>
      <c r="D39" s="1529"/>
      <c r="E39" s="1529"/>
      <c r="F39" s="1529"/>
      <c r="G39" s="1529"/>
      <c r="H39" s="1529"/>
      <c r="I39" s="1529"/>
      <c r="J39" s="1529"/>
      <c r="K39" s="1529"/>
      <c r="L39" s="1529"/>
      <c r="M39" s="1529"/>
      <c r="N39" s="1530"/>
    </row>
    <row r="40" spans="2:14" s="21" customFormat="1">
      <c r="B40" s="1528"/>
      <c r="C40" s="1529"/>
      <c r="D40" s="1529"/>
      <c r="E40" s="1529"/>
      <c r="F40" s="1529"/>
      <c r="G40" s="1529"/>
      <c r="H40" s="1529"/>
      <c r="I40" s="1529"/>
      <c r="J40" s="1529"/>
      <c r="K40" s="1529"/>
      <c r="L40" s="1529"/>
      <c r="M40" s="1529"/>
      <c r="N40" s="1530"/>
    </row>
    <row r="41" spans="2:14" s="21" customFormat="1">
      <c r="B41" s="1528"/>
      <c r="C41" s="1529"/>
      <c r="D41" s="1529"/>
      <c r="E41" s="1529"/>
      <c r="F41" s="1529"/>
      <c r="G41" s="1529"/>
      <c r="H41" s="1529"/>
      <c r="I41" s="1529"/>
      <c r="J41" s="1529"/>
      <c r="K41" s="1529"/>
      <c r="L41" s="1529"/>
      <c r="M41" s="1529"/>
      <c r="N41" s="1530"/>
    </row>
    <row r="42" spans="2:14" s="21" customFormat="1">
      <c r="B42" s="1528"/>
      <c r="C42" s="1529"/>
      <c r="D42" s="1529"/>
      <c r="E42" s="1529"/>
      <c r="F42" s="1529"/>
      <c r="G42" s="1529"/>
      <c r="H42" s="1529"/>
      <c r="I42" s="1529"/>
      <c r="J42" s="1529"/>
      <c r="K42" s="1529"/>
      <c r="L42" s="1529"/>
      <c r="M42" s="1529"/>
      <c r="N42" s="1530"/>
    </row>
    <row r="43" spans="2:14" s="21" customFormat="1">
      <c r="B43" s="1528"/>
      <c r="C43" s="1529"/>
      <c r="D43" s="1529"/>
      <c r="E43" s="1529"/>
      <c r="F43" s="1529"/>
      <c r="G43" s="1529"/>
      <c r="H43" s="1529"/>
      <c r="I43" s="1529"/>
      <c r="J43" s="1529"/>
      <c r="K43" s="1529"/>
      <c r="L43" s="1529"/>
      <c r="M43" s="1529"/>
      <c r="N43" s="1530"/>
    </row>
    <row r="44" spans="2:14" s="21" customFormat="1">
      <c r="B44" s="1528"/>
      <c r="C44" s="1529"/>
      <c r="D44" s="1529"/>
      <c r="E44" s="1529"/>
      <c r="F44" s="1529"/>
      <c r="G44" s="1529"/>
      <c r="H44" s="1529"/>
      <c r="I44" s="1529"/>
      <c r="J44" s="1529"/>
      <c r="K44" s="1529"/>
      <c r="L44" s="1529"/>
      <c r="M44" s="1529"/>
      <c r="N44" s="1530"/>
    </row>
    <row r="45" spans="2:14" s="21" customFormat="1">
      <c r="B45" s="1528"/>
      <c r="C45" s="1529"/>
      <c r="D45" s="1529"/>
      <c r="E45" s="1529"/>
      <c r="F45" s="1529"/>
      <c r="G45" s="1529"/>
      <c r="H45" s="1529"/>
      <c r="I45" s="1529"/>
      <c r="J45" s="1529"/>
      <c r="K45" s="1529"/>
      <c r="L45" s="1529"/>
      <c r="M45" s="1529"/>
      <c r="N45" s="1530"/>
    </row>
    <row r="46" spans="2:14" s="21" customFormat="1">
      <c r="B46" s="1528"/>
      <c r="C46" s="1529"/>
      <c r="D46" s="1529"/>
      <c r="E46" s="1529"/>
      <c r="F46" s="1529"/>
      <c r="G46" s="1529"/>
      <c r="H46" s="1529"/>
      <c r="I46" s="1529"/>
      <c r="J46" s="1529"/>
      <c r="K46" s="1529"/>
      <c r="L46" s="1529"/>
      <c r="M46" s="1529"/>
      <c r="N46" s="1530"/>
    </row>
    <row r="47" spans="2:14" s="21" customFormat="1">
      <c r="B47" s="1528"/>
      <c r="C47" s="1529"/>
      <c r="D47" s="1529"/>
      <c r="E47" s="1529"/>
      <c r="F47" s="1529"/>
      <c r="G47" s="1529"/>
      <c r="H47" s="1529"/>
      <c r="I47" s="1529"/>
      <c r="J47" s="1529"/>
      <c r="K47" s="1529"/>
      <c r="L47" s="1529"/>
      <c r="M47" s="1529"/>
      <c r="N47" s="1530"/>
    </row>
    <row r="48" spans="2:14" s="21" customFormat="1">
      <c r="B48" s="1528"/>
      <c r="C48" s="1529"/>
      <c r="D48" s="1529"/>
      <c r="E48" s="1529"/>
      <c r="F48" s="1529"/>
      <c r="G48" s="1529"/>
      <c r="H48" s="1529"/>
      <c r="I48" s="1529"/>
      <c r="J48" s="1529"/>
      <c r="K48" s="1529"/>
      <c r="L48" s="1529"/>
      <c r="M48" s="1529"/>
      <c r="N48" s="1530"/>
    </row>
    <row r="49" spans="2:14" s="21" customFormat="1">
      <c r="B49" s="1528"/>
      <c r="C49" s="1529"/>
      <c r="D49" s="1529"/>
      <c r="E49" s="1529"/>
      <c r="F49" s="1529"/>
      <c r="G49" s="1529"/>
      <c r="H49" s="1529"/>
      <c r="I49" s="1529"/>
      <c r="J49" s="1529"/>
      <c r="K49" s="1529"/>
      <c r="L49" s="1529"/>
      <c r="M49" s="1529"/>
      <c r="N49" s="1530"/>
    </row>
    <row r="50" spans="2:14" s="21" customFormat="1">
      <c r="B50" s="1528"/>
      <c r="C50" s="1529"/>
      <c r="D50" s="1529"/>
      <c r="E50" s="1529"/>
      <c r="F50" s="1529"/>
      <c r="G50" s="1529"/>
      <c r="H50" s="1529"/>
      <c r="I50" s="1529"/>
      <c r="J50" s="1529"/>
      <c r="K50" s="1529"/>
      <c r="L50" s="1529"/>
      <c r="M50" s="1529"/>
      <c r="N50" s="1530"/>
    </row>
    <row r="51" spans="2:14" s="21" customFormat="1">
      <c r="B51" s="1528"/>
      <c r="C51" s="1529"/>
      <c r="D51" s="1529"/>
      <c r="E51" s="1529"/>
      <c r="F51" s="1529"/>
      <c r="G51" s="1529"/>
      <c r="H51" s="1529"/>
      <c r="I51" s="1529"/>
      <c r="J51" s="1529"/>
      <c r="K51" s="1529"/>
      <c r="L51" s="1529"/>
      <c r="M51" s="1529"/>
      <c r="N51" s="1530"/>
    </row>
    <row r="52" spans="2:14" s="21" customFormat="1">
      <c r="B52" s="1528"/>
      <c r="C52" s="1529"/>
      <c r="D52" s="1529"/>
      <c r="E52" s="1529"/>
      <c r="F52" s="1529"/>
      <c r="G52" s="1529"/>
      <c r="H52" s="1529"/>
      <c r="I52" s="1529"/>
      <c r="J52" s="1529"/>
      <c r="K52" s="1529"/>
      <c r="L52" s="1529"/>
      <c r="M52" s="1529"/>
      <c r="N52" s="1530"/>
    </row>
    <row r="53" spans="2:14" s="21" customFormat="1">
      <c r="B53" s="1528"/>
      <c r="C53" s="1529"/>
      <c r="D53" s="1529"/>
      <c r="E53" s="1529"/>
      <c r="F53" s="1529"/>
      <c r="G53" s="1529"/>
      <c r="H53" s="1529"/>
      <c r="I53" s="1529"/>
      <c r="J53" s="1529"/>
      <c r="K53" s="1529"/>
      <c r="L53" s="1529"/>
      <c r="M53" s="1529"/>
      <c r="N53" s="1530"/>
    </row>
    <row r="54" spans="2:14" s="21" customFormat="1">
      <c r="B54" s="1528"/>
      <c r="C54" s="1529"/>
      <c r="D54" s="1529"/>
      <c r="E54" s="1529"/>
      <c r="F54" s="1529"/>
      <c r="G54" s="1529"/>
      <c r="H54" s="1529"/>
      <c r="I54" s="1529"/>
      <c r="J54" s="1529"/>
      <c r="K54" s="1529"/>
      <c r="L54" s="1529"/>
      <c r="M54" s="1529"/>
      <c r="N54" s="1530"/>
    </row>
    <row r="55" spans="2:14" s="21" customFormat="1">
      <c r="B55" s="1528"/>
      <c r="C55" s="1529"/>
      <c r="D55" s="1529"/>
      <c r="E55" s="1529"/>
      <c r="F55" s="1529"/>
      <c r="G55" s="1529"/>
      <c r="H55" s="1529"/>
      <c r="I55" s="1529"/>
      <c r="J55" s="1529"/>
      <c r="K55" s="1529"/>
      <c r="L55" s="1529"/>
      <c r="M55" s="1529"/>
      <c r="N55" s="1530"/>
    </row>
    <row r="56" spans="2:14" s="21" customFormat="1">
      <c r="B56" s="1528"/>
      <c r="C56" s="1529"/>
      <c r="D56" s="1529"/>
      <c r="E56" s="1529"/>
      <c r="F56" s="1529"/>
      <c r="G56" s="1529"/>
      <c r="H56" s="1529"/>
      <c r="I56" s="1529"/>
      <c r="J56" s="1529"/>
      <c r="K56" s="1529"/>
      <c r="L56" s="1529"/>
      <c r="M56" s="1529"/>
      <c r="N56" s="1530"/>
    </row>
    <row r="57" spans="2:14" s="21" customFormat="1">
      <c r="B57" s="1528"/>
      <c r="C57" s="1529"/>
      <c r="D57" s="1529"/>
      <c r="E57" s="1529"/>
      <c r="F57" s="1529"/>
      <c r="G57" s="1529"/>
      <c r="H57" s="1529"/>
      <c r="I57" s="1529"/>
      <c r="J57" s="1529"/>
      <c r="K57" s="1529"/>
      <c r="L57" s="1529"/>
      <c r="M57" s="1529"/>
      <c r="N57" s="1530"/>
    </row>
    <row r="58" spans="2:14" s="21" customFormat="1">
      <c r="B58" s="1528"/>
      <c r="C58" s="1529"/>
      <c r="D58" s="1529"/>
      <c r="E58" s="1529"/>
      <c r="F58" s="1529"/>
      <c r="G58" s="1529"/>
      <c r="H58" s="1529"/>
      <c r="I58" s="1529"/>
      <c r="J58" s="1529"/>
      <c r="K58" s="1529"/>
      <c r="L58" s="1529"/>
      <c r="M58" s="1529"/>
      <c r="N58" s="1530"/>
    </row>
    <row r="59" spans="2:14" s="21" customFormat="1">
      <c r="B59" s="1528"/>
      <c r="C59" s="1529"/>
      <c r="D59" s="1529"/>
      <c r="E59" s="1529"/>
      <c r="F59" s="1529"/>
      <c r="G59" s="1529"/>
      <c r="H59" s="1529"/>
      <c r="I59" s="1529"/>
      <c r="J59" s="1529"/>
      <c r="K59" s="1529"/>
      <c r="L59" s="1529"/>
      <c r="M59" s="1529"/>
      <c r="N59" s="1530"/>
    </row>
    <row r="60" spans="2:14" s="21" customFormat="1">
      <c r="B60" s="1528"/>
      <c r="C60" s="1529"/>
      <c r="D60" s="1529"/>
      <c r="E60" s="1529"/>
      <c r="F60" s="1529"/>
      <c r="G60" s="1529"/>
      <c r="H60" s="1529"/>
      <c r="I60" s="1529"/>
      <c r="J60" s="1529"/>
      <c r="K60" s="1529"/>
      <c r="L60" s="1529"/>
      <c r="M60" s="1529"/>
      <c r="N60" s="1530"/>
    </row>
    <row r="61" spans="2:14" s="21" customFormat="1">
      <c r="B61" s="1528"/>
      <c r="C61" s="1529"/>
      <c r="D61" s="1529"/>
      <c r="E61" s="1529"/>
      <c r="F61" s="1529"/>
      <c r="G61" s="1529"/>
      <c r="H61" s="1529"/>
      <c r="I61" s="1529"/>
      <c r="J61" s="1529"/>
      <c r="K61" s="1529"/>
      <c r="L61" s="1529"/>
      <c r="M61" s="1529"/>
      <c r="N61" s="1530"/>
    </row>
    <row r="62" spans="2:14" s="21" customFormat="1">
      <c r="B62" s="1528"/>
      <c r="C62" s="1529"/>
      <c r="D62" s="1529"/>
      <c r="E62" s="1529"/>
      <c r="F62" s="1529"/>
      <c r="G62" s="1529"/>
      <c r="H62" s="1529"/>
      <c r="I62" s="1529"/>
      <c r="J62" s="1529"/>
      <c r="K62" s="1529"/>
      <c r="L62" s="1529"/>
      <c r="M62" s="1529"/>
      <c r="N62" s="1530"/>
    </row>
    <row r="63" spans="2:14" s="21" customFormat="1" ht="15.75" thickBot="1">
      <c r="B63" s="1531"/>
      <c r="C63" s="1532"/>
      <c r="D63" s="1532"/>
      <c r="E63" s="1532"/>
      <c r="F63" s="1532"/>
      <c r="G63" s="1532"/>
      <c r="H63" s="1532"/>
      <c r="I63" s="1532"/>
      <c r="J63" s="1532"/>
      <c r="K63" s="1532"/>
      <c r="L63" s="1532"/>
      <c r="M63" s="1532"/>
      <c r="N63" s="1533"/>
    </row>
    <row r="64" spans="2:14" s="21" customFormat="1" ht="15.75" thickTop="1"/>
    <row r="65" s="21" customFormat="1"/>
    <row r="66" s="21" customFormat="1"/>
    <row r="67" s="21" customFormat="1"/>
    <row r="68" s="21" customFormat="1"/>
  </sheetData>
  <mergeCells count="4">
    <mergeCell ref="B3:N3"/>
    <mergeCell ref="B1:N1"/>
    <mergeCell ref="B2:N2"/>
    <mergeCell ref="B4:N63"/>
  </mergeCells>
  <pageMargins left="0.7" right="0.7" top="0.75" bottom="0.75" header="0.3" footer="0.3"/>
  <pageSetup orientation="portrait" horizontalDpi="4294967292" verticalDpi="2"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zoomScale="80" zoomScaleNormal="80" workbookViewId="0">
      <selection activeCell="B23" sqref="B23"/>
    </sheetView>
  </sheetViews>
  <sheetFormatPr baseColWidth="10" defaultRowHeight="15"/>
  <cols>
    <col min="1" max="1" width="31.42578125" style="64" customWidth="1"/>
    <col min="2" max="2" width="14" style="64" customWidth="1"/>
    <col min="3" max="3" width="18.42578125" style="64" bestFit="1" customWidth="1"/>
    <col min="4" max="4" width="36.42578125" style="64" bestFit="1" customWidth="1"/>
    <col min="5" max="5" width="25.85546875" style="64" bestFit="1" customWidth="1"/>
    <col min="6" max="6" width="12.140625" style="64" customWidth="1"/>
    <col min="7" max="7" width="15.85546875" style="64" customWidth="1"/>
    <col min="8" max="8" width="13.5703125" style="64" bestFit="1" customWidth="1"/>
    <col min="9" max="9" width="14.42578125" style="64" bestFit="1" customWidth="1"/>
    <col min="10" max="16384" width="11.42578125" style="64"/>
  </cols>
  <sheetData>
    <row r="1" spans="1:9">
      <c r="A1" s="64" t="s">
        <v>1246</v>
      </c>
    </row>
    <row r="2" spans="1:9" ht="15.75" thickBot="1"/>
    <row r="3" spans="1:9">
      <c r="D3" s="1170" t="s">
        <v>1247</v>
      </c>
      <c r="E3" s="1152"/>
    </row>
    <row r="4" spans="1:9">
      <c r="D4" s="1153" t="s">
        <v>1248</v>
      </c>
      <c r="E4" s="1154">
        <v>0.97069226879688231</v>
      </c>
    </row>
    <row r="5" spans="1:9">
      <c r="D5" s="1153" t="s">
        <v>1249</v>
      </c>
      <c r="E5" s="1154">
        <v>0.94224348070203889</v>
      </c>
    </row>
    <row r="6" spans="1:9">
      <c r="D6" s="1153" t="s">
        <v>1250</v>
      </c>
      <c r="E6" s="1444">
        <v>0.89892609122856815</v>
      </c>
    </row>
    <row r="7" spans="1:9">
      <c r="D7" s="1153" t="s">
        <v>1251</v>
      </c>
      <c r="E7" s="1154">
        <v>2.0315214505517015E-2</v>
      </c>
    </row>
    <row r="8" spans="1:9" ht="15.75" thickBot="1">
      <c r="D8" s="1155" t="s">
        <v>1252</v>
      </c>
      <c r="E8" s="1156">
        <v>15</v>
      </c>
    </row>
    <row r="9" spans="1:9" ht="15.75" thickBot="1"/>
    <row r="10" spans="1:9" ht="15.75" thickBot="1">
      <c r="B10" s="1642" t="s">
        <v>1253</v>
      </c>
      <c r="C10" s="1644"/>
      <c r="D10" s="1644"/>
      <c r="E10" s="1644"/>
      <c r="F10" s="1644"/>
      <c r="G10" s="1643"/>
    </row>
    <row r="11" spans="1:9">
      <c r="B11" s="1157"/>
      <c r="C11" s="1158" t="s">
        <v>1254</v>
      </c>
      <c r="D11" s="1158" t="s">
        <v>1255</v>
      </c>
      <c r="E11" s="1158" t="s">
        <v>1256</v>
      </c>
      <c r="F11" s="1158" t="s">
        <v>1257</v>
      </c>
      <c r="G11" s="1159" t="s">
        <v>1258</v>
      </c>
    </row>
    <row r="12" spans="1:9">
      <c r="B12" s="1153" t="s">
        <v>1259</v>
      </c>
      <c r="C12" s="1160">
        <v>6</v>
      </c>
      <c r="D12" s="1160">
        <v>5.3863545934903771E-2</v>
      </c>
      <c r="E12" s="1160">
        <v>8.9772576558172952E-3</v>
      </c>
      <c r="F12" s="1160">
        <v>21.752083681753316</v>
      </c>
      <c r="G12" s="1445">
        <v>1.5186149124950626E-4</v>
      </c>
    </row>
    <row r="13" spans="1:9">
      <c r="B13" s="1153" t="s">
        <v>1260</v>
      </c>
      <c r="C13" s="1160">
        <v>8</v>
      </c>
      <c r="D13" s="1160">
        <v>3.3016635232413515E-3</v>
      </c>
      <c r="E13" s="1160">
        <v>4.1270794040516894E-4</v>
      </c>
      <c r="F13" s="1160"/>
      <c r="G13" s="1154"/>
    </row>
    <row r="14" spans="1:9" ht="15.75" thickBot="1">
      <c r="B14" s="1155" t="s">
        <v>1261</v>
      </c>
      <c r="C14" s="1161">
        <v>14</v>
      </c>
      <c r="D14" s="1161">
        <v>5.7165209458145121E-2</v>
      </c>
      <c r="E14" s="1161"/>
      <c r="F14" s="1161"/>
      <c r="G14" s="1156"/>
    </row>
    <row r="15" spans="1:9" ht="15.75" thickBot="1"/>
    <row r="16" spans="1:9">
      <c r="A16" s="1164"/>
      <c r="B16" s="1165" t="s">
        <v>1262</v>
      </c>
      <c r="C16" s="1165" t="s">
        <v>1251</v>
      </c>
      <c r="D16" s="1165" t="s">
        <v>1263</v>
      </c>
      <c r="E16" s="1167" t="s">
        <v>1010</v>
      </c>
      <c r="F16" s="1165" t="s">
        <v>1264</v>
      </c>
      <c r="G16" s="1165" t="s">
        <v>1265</v>
      </c>
      <c r="H16" s="1165" t="s">
        <v>1266</v>
      </c>
      <c r="I16" s="1166" t="s">
        <v>1267</v>
      </c>
    </row>
    <row r="17" spans="1:9">
      <c r="A17" s="1168" t="s">
        <v>1245</v>
      </c>
      <c r="B17" s="1446">
        <v>-8.1884187796482655E-2</v>
      </c>
      <c r="C17" s="1160">
        <v>3.0170240744264217E-2</v>
      </c>
      <c r="D17" s="1160">
        <v>-2.7140714086628552</v>
      </c>
      <c r="E17" s="1162">
        <v>2.6490637715731562E-2</v>
      </c>
      <c r="F17" s="1160">
        <v>-0.1514568877128612</v>
      </c>
      <c r="G17" s="1160">
        <v>-1.2311487880104124E-2</v>
      </c>
      <c r="H17" s="1160">
        <v>-0.12402644196672905</v>
      </c>
      <c r="I17" s="1154">
        <v>-3.9741933626236271E-2</v>
      </c>
    </row>
    <row r="18" spans="1:9">
      <c r="A18" s="1168" t="s">
        <v>1217</v>
      </c>
      <c r="B18" s="1446">
        <v>1.3180114011039885</v>
      </c>
      <c r="C18" s="1160">
        <v>0.31908951054241191</v>
      </c>
      <c r="D18" s="1160">
        <v>4.1305381642396686</v>
      </c>
      <c r="E18" s="1162">
        <v>3.2960137638776629E-3</v>
      </c>
      <c r="F18" s="1160">
        <v>0.58218967029291291</v>
      </c>
      <c r="G18" s="1160">
        <v>2.0538331319150642</v>
      </c>
      <c r="H18" s="1160">
        <v>0.87230228759967132</v>
      </c>
      <c r="I18" s="1154">
        <v>1.7637205146083057</v>
      </c>
    </row>
    <row r="19" spans="1:9">
      <c r="A19" s="1168" t="s">
        <v>1218</v>
      </c>
      <c r="B19" s="1446">
        <v>2.9985770961441651</v>
      </c>
      <c r="C19" s="1160">
        <v>0.65987823036176929</v>
      </c>
      <c r="D19" s="1160">
        <v>4.5441370213110925</v>
      </c>
      <c r="E19" s="1162">
        <v>1.8888836778316619E-3</v>
      </c>
      <c r="F19" s="1160">
        <v>1.4768951681987172</v>
      </c>
      <c r="G19" s="1160">
        <v>4.5202590240896132</v>
      </c>
      <c r="H19" s="1160">
        <v>2.0768490814081573</v>
      </c>
      <c r="I19" s="1154">
        <v>3.920305110880173</v>
      </c>
    </row>
    <row r="20" spans="1:9">
      <c r="A20" s="1168" t="s">
        <v>1222</v>
      </c>
      <c r="B20" s="1446">
        <v>-0.92175380632793547</v>
      </c>
      <c r="C20" s="1160">
        <v>0.46738625515389065</v>
      </c>
      <c r="D20" s="1160">
        <v>-1.9721457277866263</v>
      </c>
      <c r="E20" s="1162">
        <v>8.40641608470655E-2</v>
      </c>
      <c r="F20" s="1160">
        <v>-1.9995484434503972</v>
      </c>
      <c r="G20" s="1160">
        <v>0.15604083079452635</v>
      </c>
      <c r="H20" s="1160">
        <v>-1.574606083090742</v>
      </c>
      <c r="I20" s="1154">
        <v>-0.26890152956512881</v>
      </c>
    </row>
    <row r="21" spans="1:9">
      <c r="A21" s="1168" t="s">
        <v>1221</v>
      </c>
      <c r="B21" s="1446">
        <v>-8.7637878869755298E-2</v>
      </c>
      <c r="C21" s="1160">
        <v>6.5626643291763737E-2</v>
      </c>
      <c r="D21" s="1160">
        <v>-1.3354009053934657</v>
      </c>
      <c r="E21" s="1162">
        <v>0.1708394438040477</v>
      </c>
      <c r="F21" s="1160">
        <v>-0.23897318968013129</v>
      </c>
      <c r="G21" s="1160">
        <v>6.3697431940620691E-2</v>
      </c>
      <c r="H21" s="1160">
        <v>-0.17930617894679035</v>
      </c>
      <c r="I21" s="1154">
        <v>4.030421207279769E-3</v>
      </c>
    </row>
    <row r="22" spans="1:9">
      <c r="A22" s="1168" t="s">
        <v>1219</v>
      </c>
      <c r="B22" s="1446">
        <v>1.079734883878152</v>
      </c>
      <c r="C22" s="1160">
        <v>0.44737033072668947</v>
      </c>
      <c r="D22" s="1160">
        <v>2.4135147320214023</v>
      </c>
      <c r="E22" s="1162">
        <v>4.2275711880885164E-2</v>
      </c>
      <c r="F22" s="1160">
        <v>4.8097051254750278E-2</v>
      </c>
      <c r="G22" s="1160">
        <v>2.1113727165015534</v>
      </c>
      <c r="H22" s="1160">
        <v>0.45484115679393611</v>
      </c>
      <c r="I22" s="1154">
        <v>1.7046286109623678</v>
      </c>
    </row>
    <row r="23" spans="1:9" ht="15.75" thickBot="1">
      <c r="A23" s="1169" t="s">
        <v>1220</v>
      </c>
      <c r="B23" s="1447">
        <v>-0.3877870990886198</v>
      </c>
      <c r="C23" s="1161">
        <v>0.16916814771771704</v>
      </c>
      <c r="D23" s="1161">
        <v>-2.2923174623611886</v>
      </c>
      <c r="E23" s="1163">
        <v>5.1079739236963052E-2</v>
      </c>
      <c r="F23" s="1161">
        <v>-0.77788954727050474</v>
      </c>
      <c r="G23" s="1161">
        <v>2.3153490932650844E-3</v>
      </c>
      <c r="H23" s="1161">
        <v>-0.62408375774173852</v>
      </c>
      <c r="I23" s="1156">
        <v>-0.15149044043550106</v>
      </c>
    </row>
    <row r="27" spans="1:9">
      <c r="B27" s="17" t="s">
        <v>1268</v>
      </c>
    </row>
    <row r="28" spans="1:9">
      <c r="B28" s="64" t="s">
        <v>1269</v>
      </c>
    </row>
  </sheetData>
  <mergeCells count="1">
    <mergeCell ref="B10:G10"/>
  </mergeCells>
  <pageMargins left="0.7" right="0.7" top="0.75" bottom="0.75" header="0.3" footer="0.3"/>
  <pageSetup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5"/>
  <sheetViews>
    <sheetView showGridLines="0" zoomScale="80" zoomScaleNormal="80" workbookViewId="0">
      <selection activeCell="L22" sqref="L22"/>
    </sheetView>
  </sheetViews>
  <sheetFormatPr baseColWidth="10" defaultRowHeight="15"/>
  <cols>
    <col min="1" max="1" width="30" bestFit="1" customWidth="1"/>
    <col min="10" max="10" width="13.42578125" bestFit="1" customWidth="1"/>
    <col min="11" max="15" width="13.5703125" bestFit="1" customWidth="1"/>
  </cols>
  <sheetData>
    <row r="2" spans="1:15">
      <c r="A2" s="17" t="s">
        <v>1270</v>
      </c>
    </row>
    <row r="3" spans="1:15" ht="15.75" thickBot="1"/>
    <row r="4" spans="1:15" ht="15.75" thickBot="1">
      <c r="A4" s="1174" t="s">
        <v>1153</v>
      </c>
      <c r="B4" s="1182">
        <v>2007</v>
      </c>
      <c r="C4" s="1182">
        <f>+B4+1</f>
        <v>2008</v>
      </c>
      <c r="D4" s="1182">
        <f t="shared" ref="D4:O4" si="0">+C4+1</f>
        <v>2009</v>
      </c>
      <c r="E4" s="1182">
        <f t="shared" si="0"/>
        <v>2010</v>
      </c>
      <c r="F4" s="1182">
        <f t="shared" si="0"/>
        <v>2011</v>
      </c>
      <c r="G4" s="1182">
        <f t="shared" si="0"/>
        <v>2012</v>
      </c>
      <c r="H4" s="1182">
        <f t="shared" si="0"/>
        <v>2013</v>
      </c>
      <c r="I4" s="1182">
        <f t="shared" si="0"/>
        <v>2014</v>
      </c>
      <c r="J4" s="1207">
        <f t="shared" si="0"/>
        <v>2015</v>
      </c>
      <c r="K4" s="1207">
        <f t="shared" si="0"/>
        <v>2016</v>
      </c>
      <c r="L4" s="1207">
        <f t="shared" si="0"/>
        <v>2017</v>
      </c>
      <c r="M4" s="1207">
        <f t="shared" si="0"/>
        <v>2018</v>
      </c>
      <c r="N4" s="1207">
        <f t="shared" si="0"/>
        <v>2019</v>
      </c>
      <c r="O4" s="1208">
        <f t="shared" si="0"/>
        <v>2020</v>
      </c>
    </row>
    <row r="5" spans="1:15">
      <c r="A5" s="1171" t="s">
        <v>66</v>
      </c>
      <c r="B5" s="1180">
        <f>+FER!C9</f>
        <v>68245.282000000007</v>
      </c>
      <c r="C5" s="1181">
        <f>+FER!D9</f>
        <v>76021.293999999994</v>
      </c>
      <c r="D5" s="1181">
        <f>+FER!E9</f>
        <v>79887.293999999994</v>
      </c>
      <c r="E5" s="1181">
        <f>+FER!F9</f>
        <v>85757.510999999999</v>
      </c>
      <c r="F5" s="1181">
        <f>+FER!G9</f>
        <v>91145.91</v>
      </c>
      <c r="G5" s="1181">
        <f>+FER!H9</f>
        <v>92529.489000000001</v>
      </c>
      <c r="H5" s="1181">
        <f>+FER!I9</f>
        <v>99703.27</v>
      </c>
      <c r="I5" s="1181">
        <f>+FER!J9</f>
        <v>99918.35</v>
      </c>
      <c r="J5" s="1197">
        <f t="shared" ref="J5:O5" si="1">+I5*(1+J6)</f>
        <v>111743.81980643109</v>
      </c>
      <c r="K5" s="1197">
        <f t="shared" si="1"/>
        <v>119251.04208500223</v>
      </c>
      <c r="L5" s="1197">
        <f t="shared" si="1"/>
        <v>125260.56965580644</v>
      </c>
      <c r="M5" s="1197">
        <f t="shared" si="1"/>
        <v>133838.20212810466</v>
      </c>
      <c r="N5" s="1197">
        <f t="shared" si="1"/>
        <v>142778.29250887225</v>
      </c>
      <c r="O5" s="1198">
        <f t="shared" si="1"/>
        <v>152503.74420348241</v>
      </c>
    </row>
    <row r="6" spans="1:15">
      <c r="A6" s="1176" t="s">
        <v>1271</v>
      </c>
      <c r="B6" s="1185">
        <f>+(B5/FER!B9)-1</f>
        <v>0.16200780565663653</v>
      </c>
      <c r="C6" s="1185">
        <f>+(C5/B5)-1</f>
        <v>0.11394211837237322</v>
      </c>
      <c r="D6" s="1185">
        <f t="shared" ref="D6:I6" si="2">+(D5/C5)-1</f>
        <v>5.0854172516453078E-2</v>
      </c>
      <c r="E6" s="1185">
        <f t="shared" si="2"/>
        <v>7.3481234700476961E-2</v>
      </c>
      <c r="F6" s="1185">
        <f t="shared" si="2"/>
        <v>6.2832968648075749E-2</v>
      </c>
      <c r="G6" s="1185">
        <f t="shared" si="2"/>
        <v>1.517982540302687E-2</v>
      </c>
      <c r="H6" s="1185">
        <f t="shared" si="2"/>
        <v>7.7529672729522936E-2</v>
      </c>
      <c r="I6" s="1185">
        <f t="shared" si="2"/>
        <v>2.157201062713332E-3</v>
      </c>
      <c r="J6" s="1195">
        <f>+'Base de Datos'!$B17</f>
        <v>0.11835133192682903</v>
      </c>
      <c r="K6" s="1195">
        <f>+'Base de Datos'!$B18</f>
        <v>6.7182438291223334E-2</v>
      </c>
      <c r="L6" s="1195">
        <f>+'Base de Datos'!$B19</f>
        <v>5.0393920805493715E-2</v>
      </c>
      <c r="M6" s="1195">
        <f>+'Base de Datos'!$B20</f>
        <v>6.8478312815182241E-2</v>
      </c>
      <c r="N6" s="1195">
        <f>+'Base de Datos'!$B21</f>
        <v>6.6797747120142054E-2</v>
      </c>
      <c r="O6" s="1196">
        <f>+'Base de Datos'!$B22</f>
        <v>6.8115758521246045E-2</v>
      </c>
    </row>
    <row r="7" spans="1:15">
      <c r="A7" s="1176" t="s">
        <v>1272</v>
      </c>
      <c r="B7" s="1183">
        <f>+FER!C10</f>
        <v>31460.511999999999</v>
      </c>
      <c r="C7" s="1186">
        <f>+FER!D10</f>
        <v>28912.302</v>
      </c>
      <c r="D7" s="1186">
        <f>+FER!E10</f>
        <v>28175.117999999999</v>
      </c>
      <c r="E7" s="1186">
        <f>+FER!F10</f>
        <v>29245</v>
      </c>
      <c r="F7" s="1186">
        <f>+FER!G10</f>
        <v>34776.125999999997</v>
      </c>
      <c r="G7" s="1186">
        <f>+FER!H10</f>
        <v>32993.588000000003</v>
      </c>
      <c r="H7" s="1186">
        <f>+FER!I10</f>
        <v>35549.03</v>
      </c>
      <c r="I7" s="1186">
        <f>+FER!J10</f>
        <v>37860.730000000003</v>
      </c>
      <c r="J7" s="1197">
        <f t="shared" ref="J7:O7" si="3">+J5*(1-J10)</f>
        <v>42288.669590507023</v>
      </c>
      <c r="K7" s="1197">
        <f t="shared" si="3"/>
        <v>45073.241445245927</v>
      </c>
      <c r="L7" s="1197">
        <f t="shared" si="3"/>
        <v>47285.32827036464</v>
      </c>
      <c r="M7" s="1197">
        <f t="shared" si="3"/>
        <v>50459.954381595293</v>
      </c>
      <c r="N7" s="1197">
        <f t="shared" si="3"/>
        <v>53762.937728825062</v>
      </c>
      <c r="O7" s="1198">
        <f t="shared" si="3"/>
        <v>57352.806559883211</v>
      </c>
    </row>
    <row r="8" spans="1:15">
      <c r="A8" s="1177" t="s">
        <v>1273</v>
      </c>
      <c r="B8" s="1185">
        <f>+B7/B5</f>
        <v>0.46099175031616096</v>
      </c>
      <c r="C8" s="1185">
        <f t="shared" ref="C8:I8" si="4">+C7/C5</f>
        <v>0.38031846708634032</v>
      </c>
      <c r="D8" s="1185">
        <f t="shared" si="4"/>
        <v>0.35268584763930044</v>
      </c>
      <c r="E8" s="1185">
        <f t="shared" si="4"/>
        <v>0.3410196921410184</v>
      </c>
      <c r="F8" s="1185">
        <f t="shared" si="4"/>
        <v>0.38154346146744267</v>
      </c>
      <c r="G8" s="1185">
        <f t="shared" si="4"/>
        <v>0.35657376212247321</v>
      </c>
      <c r="H8" s="1185">
        <f t="shared" si="4"/>
        <v>0.35654828572824138</v>
      </c>
      <c r="I8" s="1185">
        <f t="shared" si="4"/>
        <v>0.37891668547368929</v>
      </c>
      <c r="J8" s="1184">
        <f t="shared" ref="J8:O8" si="5">+J7/J5</f>
        <v>0.37844302856087997</v>
      </c>
      <c r="K8" s="1184">
        <f t="shared" si="5"/>
        <v>0.37796937164807071</v>
      </c>
      <c r="L8" s="1184">
        <f t="shared" si="5"/>
        <v>0.37749571473526133</v>
      </c>
      <c r="M8" s="1184">
        <f t="shared" si="5"/>
        <v>0.37702205782245202</v>
      </c>
      <c r="N8" s="1184">
        <f t="shared" si="5"/>
        <v>0.3765484009096427</v>
      </c>
      <c r="O8" s="1196">
        <f t="shared" si="5"/>
        <v>0.37607474399683338</v>
      </c>
    </row>
    <row r="9" spans="1:15">
      <c r="A9" s="1172" t="s">
        <v>1274</v>
      </c>
      <c r="B9" s="1187">
        <f>+B5-B7</f>
        <v>36784.770000000004</v>
      </c>
      <c r="C9" s="1188">
        <f t="shared" ref="C9:O9" si="6">+C5-C7</f>
        <v>47108.991999999998</v>
      </c>
      <c r="D9" s="1188">
        <f t="shared" si="6"/>
        <v>51712.175999999992</v>
      </c>
      <c r="E9" s="1188">
        <f t="shared" si="6"/>
        <v>56512.510999999999</v>
      </c>
      <c r="F9" s="1188">
        <f t="shared" si="6"/>
        <v>56369.784000000007</v>
      </c>
      <c r="G9" s="1188">
        <f t="shared" si="6"/>
        <v>59535.900999999998</v>
      </c>
      <c r="H9" s="1188">
        <f t="shared" si="6"/>
        <v>64154.240000000005</v>
      </c>
      <c r="I9" s="1188">
        <f t="shared" si="6"/>
        <v>62057.62</v>
      </c>
      <c r="J9" s="1199">
        <f t="shared" si="6"/>
        <v>69455.150215924063</v>
      </c>
      <c r="K9" s="1199">
        <f t="shared" si="6"/>
        <v>74177.800639756315</v>
      </c>
      <c r="L9" s="1199">
        <f t="shared" si="6"/>
        <v>77975.241385441797</v>
      </c>
      <c r="M9" s="1199">
        <f t="shared" si="6"/>
        <v>83378.247746509369</v>
      </c>
      <c r="N9" s="1199">
        <f t="shared" si="6"/>
        <v>89015.354780047201</v>
      </c>
      <c r="O9" s="1200">
        <f t="shared" si="6"/>
        <v>95150.937643599202</v>
      </c>
    </row>
    <row r="10" spans="1:15">
      <c r="A10" s="1178" t="s">
        <v>1275</v>
      </c>
      <c r="B10" s="1185">
        <f>+B9/B5</f>
        <v>0.53900824968383898</v>
      </c>
      <c r="C10" s="1185">
        <f t="shared" ref="C10:I10" si="7">+C9/C5</f>
        <v>0.61968153291365968</v>
      </c>
      <c r="D10" s="1185">
        <f t="shared" si="7"/>
        <v>0.64731415236069956</v>
      </c>
      <c r="E10" s="1185">
        <f t="shared" si="7"/>
        <v>0.65898030785898154</v>
      </c>
      <c r="F10" s="1185">
        <f t="shared" si="7"/>
        <v>0.61845653853255733</v>
      </c>
      <c r="G10" s="1185">
        <f t="shared" si="7"/>
        <v>0.64342623787752673</v>
      </c>
      <c r="H10" s="1185">
        <f t="shared" si="7"/>
        <v>0.64345171427175862</v>
      </c>
      <c r="I10" s="1185">
        <f t="shared" si="7"/>
        <v>0.62108331452631071</v>
      </c>
      <c r="J10" s="1195">
        <f>+I10+($O$10-$I$10)/6</f>
        <v>0.62155697143912003</v>
      </c>
      <c r="K10" s="1184">
        <f>+J10+($O$10-$I$10)/6</f>
        <v>0.62203062835192935</v>
      </c>
      <c r="L10" s="1184">
        <f>+K10+($O$10-$I$10)/6</f>
        <v>0.62250428526473867</v>
      </c>
      <c r="M10" s="1184">
        <f>+L10+($O$10-$I$10)/6</f>
        <v>0.62297794217754798</v>
      </c>
      <c r="N10" s="1184">
        <f>+M10+($O$10-$I$10)/6</f>
        <v>0.6234515990903573</v>
      </c>
      <c r="O10" s="1201">
        <f>+AVERAGE(B10:I10)</f>
        <v>0.62392525600316662</v>
      </c>
    </row>
    <row r="11" spans="1:15">
      <c r="A11" s="1176"/>
      <c r="B11" s="1189"/>
      <c r="C11" s="1189"/>
      <c r="D11" s="1189"/>
      <c r="E11" s="1189"/>
      <c r="F11" s="1189"/>
      <c r="G11" s="1189"/>
      <c r="H11" s="1189"/>
      <c r="I11" s="1189"/>
      <c r="J11" s="1193"/>
      <c r="K11" s="1193"/>
      <c r="L11" s="1193"/>
      <c r="M11" s="1193"/>
      <c r="N11" s="1193"/>
      <c r="O11" s="1194"/>
    </row>
    <row r="12" spans="1:15">
      <c r="A12" s="1176"/>
      <c r="B12" s="1189"/>
      <c r="C12" s="1189"/>
      <c r="D12" s="1189"/>
      <c r="E12" s="1189"/>
      <c r="F12" s="1189"/>
      <c r="G12" s="1189"/>
      <c r="H12" s="1189"/>
      <c r="I12" s="1189"/>
      <c r="J12" s="1193"/>
      <c r="K12" s="1193"/>
      <c r="L12" s="1193"/>
      <c r="M12" s="1193"/>
      <c r="N12" s="1193"/>
      <c r="O12" s="1194"/>
    </row>
    <row r="13" spans="1:15">
      <c r="A13" s="1173" t="s">
        <v>1276</v>
      </c>
      <c r="B13" s="1190">
        <f>+'Anexo 4 - FCL'!B6</f>
        <v>15167.788</v>
      </c>
      <c r="C13" s="1191">
        <f>+'Anexo 4 - FCL'!C6</f>
        <v>21161.253000000004</v>
      </c>
      <c r="D13" s="1191">
        <f>+'Anexo 4 - FCL'!D6</f>
        <v>20705.576000000001</v>
      </c>
      <c r="E13" s="1191">
        <f>+'Anexo 4 - FCL'!E6</f>
        <v>24154.934999999998</v>
      </c>
      <c r="F13" s="1191">
        <f>+'Anexo 4 - FCL'!F6</f>
        <v>19909.325999999997</v>
      </c>
      <c r="G13" s="1191">
        <f>+'Anexo 4 - FCL'!G6</f>
        <v>22452.508999999998</v>
      </c>
      <c r="H13" s="1191">
        <f>+'Anexo 4 - FCL'!H6</f>
        <v>18457.900000000009</v>
      </c>
      <c r="I13" s="1191">
        <f>+'Anexo 4 - FCL'!I6</f>
        <v>13212.540000000003</v>
      </c>
      <c r="J13" s="1205">
        <f t="shared" ref="J13:O13" si="8">+I13*(1+J15)</f>
        <v>10413.907411225004</v>
      </c>
      <c r="K13" s="1205">
        <f t="shared" si="8"/>
        <v>8961.6555747712555</v>
      </c>
      <c r="L13" s="1205">
        <f t="shared" si="8"/>
        <v>8360.4195641566512</v>
      </c>
      <c r="M13" s="1205">
        <f t="shared" si="8"/>
        <v>8404.5077525372235</v>
      </c>
      <c r="N13" s="1205">
        <f t="shared" si="8"/>
        <v>9057.006176421839</v>
      </c>
      <c r="O13" s="1206">
        <f t="shared" si="8"/>
        <v>10415.557102885114</v>
      </c>
    </row>
    <row r="14" spans="1:15">
      <c r="A14" s="1175" t="s">
        <v>1277</v>
      </c>
      <c r="B14" s="1185">
        <f>+B13/B5</f>
        <v>0.22225401603586309</v>
      </c>
      <c r="C14" s="1185">
        <f t="shared" ref="C14:I14" si="9">+C13/C5</f>
        <v>0.27835954752361891</v>
      </c>
      <c r="D14" s="1185">
        <f t="shared" si="9"/>
        <v>0.2591848460907939</v>
      </c>
      <c r="E14" s="1185">
        <f t="shared" si="9"/>
        <v>0.28166553248029785</v>
      </c>
      <c r="F14" s="1185">
        <f t="shared" si="9"/>
        <v>0.21843356438045325</v>
      </c>
      <c r="G14" s="1185">
        <f t="shared" si="9"/>
        <v>0.24265246941977597</v>
      </c>
      <c r="H14" s="1185">
        <f t="shared" si="9"/>
        <v>0.18512833129745904</v>
      </c>
      <c r="I14" s="1185">
        <f t="shared" si="9"/>
        <v>0.13223336854541734</v>
      </c>
      <c r="J14" s="1184">
        <f t="shared" ref="J14:O14" si="10">+J13/J5</f>
        <v>9.3194482068579346E-2</v>
      </c>
      <c r="K14" s="1184">
        <f t="shared" si="10"/>
        <v>7.5149494864651833E-2</v>
      </c>
      <c r="L14" s="1184">
        <f t="shared" si="10"/>
        <v>6.6744224356711637E-2</v>
      </c>
      <c r="M14" s="1184">
        <f t="shared" si="10"/>
        <v>6.2796029974257719E-2</v>
      </c>
      <c r="N14" s="1184">
        <f t="shared" si="10"/>
        <v>6.3434055816706428E-2</v>
      </c>
      <c r="O14" s="1196">
        <f t="shared" si="10"/>
        <v>6.8297058260994983E-2</v>
      </c>
    </row>
    <row r="15" spans="1:15" ht="15.75" thickBot="1">
      <c r="A15" s="1179" t="s">
        <v>1278</v>
      </c>
      <c r="B15" s="1192">
        <v>0.37208167365185529</v>
      </c>
      <c r="C15" s="1192">
        <f>+(C13/B13)-1</f>
        <v>0.39514430185864957</v>
      </c>
      <c r="D15" s="1192">
        <f t="shared" ref="D15:I15" si="11">+(D13/C13)-1</f>
        <v>-2.1533554747443562E-2</v>
      </c>
      <c r="E15" s="1192">
        <f t="shared" si="11"/>
        <v>0.16659082558244198</v>
      </c>
      <c r="F15" s="1192">
        <f t="shared" si="11"/>
        <v>-0.17576569756863347</v>
      </c>
      <c r="G15" s="1192">
        <f t="shared" si="11"/>
        <v>0.12773827702655538</v>
      </c>
      <c r="H15" s="1192">
        <f t="shared" si="11"/>
        <v>-0.17791370220584213</v>
      </c>
      <c r="I15" s="1192">
        <f t="shared" si="11"/>
        <v>-0.28417967374403397</v>
      </c>
      <c r="J15" s="1203">
        <f>+I15+($O$15-$I$15)/6</f>
        <v>-0.21181639478669495</v>
      </c>
      <c r="K15" s="1204">
        <f>+J15+($O$15-$I$15)/6</f>
        <v>-0.13945311582935593</v>
      </c>
      <c r="L15" s="1204">
        <f>+K15+($O$15-$I$15)/6</f>
        <v>-6.7089836872016931E-2</v>
      </c>
      <c r="M15" s="1204">
        <f>+L15+($O$15-$I$15)/6</f>
        <v>5.273442085322072E-3</v>
      </c>
      <c r="N15" s="1204">
        <f>+M15+($O$15-$I$15)/6</f>
        <v>7.7636721042661075E-2</v>
      </c>
      <c r="O15" s="1202">
        <v>0.15</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1"/>
  <sheetViews>
    <sheetView showGridLines="0" tabSelected="1" topLeftCell="A52" zoomScale="80" zoomScaleNormal="80" workbookViewId="0">
      <selection activeCell="Q62" sqref="Q62"/>
    </sheetView>
  </sheetViews>
  <sheetFormatPr baseColWidth="10" defaultRowHeight="15"/>
  <cols>
    <col min="1" max="1" width="51.5703125" bestFit="1" customWidth="1"/>
    <col min="2" max="4" width="9.5703125" hidden="1" customWidth="1"/>
    <col min="5" max="6" width="10.7109375" hidden="1" customWidth="1"/>
    <col min="7" max="8" width="9.5703125" hidden="1" customWidth="1"/>
    <col min="9" max="9" width="9.7109375" hidden="1" customWidth="1"/>
    <col min="10" max="14" width="11.85546875" bestFit="1" customWidth="1"/>
    <col min="15" max="15" width="11.7109375" customWidth="1"/>
  </cols>
  <sheetData>
    <row r="1" spans="1:15" ht="27.75">
      <c r="A1" s="1215" t="s">
        <v>1290</v>
      </c>
    </row>
    <row r="2" spans="1:15">
      <c r="A2" s="1213" t="s">
        <v>1291</v>
      </c>
    </row>
    <row r="3" spans="1:15" ht="15.75" thickBot="1">
      <c r="A3" s="1216" t="s">
        <v>1292</v>
      </c>
    </row>
    <row r="4" spans="1:15" ht="15.75" thickTop="1"/>
    <row r="5" spans="1:15" ht="15.75" thickBot="1"/>
    <row r="6" spans="1:15" ht="15.75" thickBot="1">
      <c r="A6" s="1223" t="s">
        <v>1293</v>
      </c>
      <c r="B6" s="1226">
        <f>+Supuestos!B2</f>
        <v>2007</v>
      </c>
      <c r="C6" s="1226">
        <f>+Supuestos!C2</f>
        <v>2008</v>
      </c>
      <c r="D6" s="1226">
        <f>+Supuestos!D2</f>
        <v>2009</v>
      </c>
      <c r="E6" s="1226">
        <f>+Supuestos!E2</f>
        <v>2010</v>
      </c>
      <c r="F6" s="1226">
        <f>+Supuestos!F2</f>
        <v>2011</v>
      </c>
      <c r="G6" s="1226">
        <f>+Supuestos!G2</f>
        <v>2012</v>
      </c>
      <c r="H6" s="1226">
        <f>+Supuestos!H2</f>
        <v>2013</v>
      </c>
      <c r="I6" s="1226">
        <f>+Supuestos!I2</f>
        <v>2014</v>
      </c>
      <c r="J6" s="1224">
        <f>+Supuestos!J2</f>
        <v>2015</v>
      </c>
      <c r="K6" s="1224">
        <f>+Supuestos!K2</f>
        <v>2016</v>
      </c>
      <c r="L6" s="1224">
        <f>+Supuestos!L2</f>
        <v>2017</v>
      </c>
      <c r="M6" s="1224">
        <f>+Supuestos!M2</f>
        <v>2018</v>
      </c>
      <c r="N6" s="1224">
        <f>+Supuestos!N2</f>
        <v>2019</v>
      </c>
      <c r="O6" s="1225">
        <f>+Supuestos!O2</f>
        <v>2020</v>
      </c>
    </row>
    <row r="7" spans="1:15">
      <c r="A7" s="1171" t="s">
        <v>12</v>
      </c>
      <c r="B7" s="1227">
        <f>+'Ventas y EBITDA'!B5</f>
        <v>68245.282000000007</v>
      </c>
      <c r="C7" s="1227">
        <f>+'Ventas y EBITDA'!C5</f>
        <v>76021.293999999994</v>
      </c>
      <c r="D7" s="1227">
        <f>+'Ventas y EBITDA'!D5</f>
        <v>79887.293999999994</v>
      </c>
      <c r="E7" s="1227">
        <f>+'Ventas y EBITDA'!E5</f>
        <v>85757.510999999999</v>
      </c>
      <c r="F7" s="1227">
        <f>+'Ventas y EBITDA'!F5</f>
        <v>91145.91</v>
      </c>
      <c r="G7" s="1227">
        <f>+'Ventas y EBITDA'!G5</f>
        <v>92529.489000000001</v>
      </c>
      <c r="H7" s="1227">
        <f>+'Ventas y EBITDA'!H5</f>
        <v>99703.27</v>
      </c>
      <c r="I7" s="1227">
        <f>+'Ventas y EBITDA'!I5</f>
        <v>99918.35</v>
      </c>
      <c r="J7" s="1232">
        <f>+'Ventas y EBITDA'!J5</f>
        <v>111743.81980643109</v>
      </c>
      <c r="K7" s="1232">
        <f>+'Ventas y EBITDA'!K5</f>
        <v>119251.04208500223</v>
      </c>
      <c r="L7" s="1232">
        <f>+'Ventas y EBITDA'!L5</f>
        <v>125260.56965580644</v>
      </c>
      <c r="M7" s="1232">
        <f>+'Ventas y EBITDA'!M5</f>
        <v>133838.20212810466</v>
      </c>
      <c r="N7" s="1232">
        <f>+'Ventas y EBITDA'!N5</f>
        <v>142778.29250887225</v>
      </c>
      <c r="O7" s="1233">
        <f>+'Ventas y EBITDA'!O5</f>
        <v>152503.74420348241</v>
      </c>
    </row>
    <row r="8" spans="1:15" hidden="1">
      <c r="A8" s="1217" t="s">
        <v>444</v>
      </c>
      <c r="B8" s="239">
        <f>+'Ventas y EBITDA'!B6</f>
        <v>0.16200780565663653</v>
      </c>
      <c r="C8" s="239">
        <f>+'Ventas y EBITDA'!C6</f>
        <v>0.11394211837237322</v>
      </c>
      <c r="D8" s="239">
        <f>+'Ventas y EBITDA'!D6</f>
        <v>5.0854172516453078E-2</v>
      </c>
      <c r="E8" s="239">
        <f>+'Ventas y EBITDA'!E6</f>
        <v>7.3481234700476961E-2</v>
      </c>
      <c r="F8" s="239">
        <f>+'Ventas y EBITDA'!F6</f>
        <v>6.2832968648075749E-2</v>
      </c>
      <c r="G8" s="239">
        <f>+'Ventas y EBITDA'!G6</f>
        <v>1.517982540302687E-2</v>
      </c>
      <c r="H8" s="239">
        <f>+'Ventas y EBITDA'!H6</f>
        <v>7.7529672729522936E-2</v>
      </c>
      <c r="I8" s="239">
        <f>+'Ventas y EBITDA'!I6</f>
        <v>2.157201062713332E-3</v>
      </c>
      <c r="J8" s="1234">
        <f>+'Ventas y EBITDA'!J6</f>
        <v>0.11835133192682903</v>
      </c>
      <c r="K8" s="1234">
        <f>+'Ventas y EBITDA'!K6</f>
        <v>6.7182438291223334E-2</v>
      </c>
      <c r="L8" s="1234">
        <f>+'Ventas y EBITDA'!L6</f>
        <v>5.0393920805493715E-2</v>
      </c>
      <c r="M8" s="1234">
        <f>+'Ventas y EBITDA'!M6</f>
        <v>6.8478312815182241E-2</v>
      </c>
      <c r="N8" s="1234">
        <f>+'Ventas y EBITDA'!N6</f>
        <v>6.6797747120142054E-2</v>
      </c>
      <c r="O8" s="1235">
        <f>+'Ventas y EBITDA'!O6</f>
        <v>6.8115758521246045E-2</v>
      </c>
    </row>
    <row r="9" spans="1:15">
      <c r="A9" s="1217" t="s">
        <v>1272</v>
      </c>
      <c r="B9" s="1227">
        <f>+'Ventas y EBITDA'!B7</f>
        <v>31460.511999999999</v>
      </c>
      <c r="C9" s="1227">
        <f>+'Ventas y EBITDA'!C7</f>
        <v>28912.302</v>
      </c>
      <c r="D9" s="1227">
        <f>+'Ventas y EBITDA'!D7</f>
        <v>28175.117999999999</v>
      </c>
      <c r="E9" s="1227">
        <f>+'Ventas y EBITDA'!E7</f>
        <v>29245</v>
      </c>
      <c r="F9" s="1227">
        <f>+'Ventas y EBITDA'!F7</f>
        <v>34776.125999999997</v>
      </c>
      <c r="G9" s="1227">
        <f>+'Ventas y EBITDA'!G7</f>
        <v>32993.588000000003</v>
      </c>
      <c r="H9" s="1227">
        <f>+'Ventas y EBITDA'!H7</f>
        <v>35549.03</v>
      </c>
      <c r="I9" s="1227">
        <f>+'Ventas y EBITDA'!I7</f>
        <v>37860.730000000003</v>
      </c>
      <c r="J9" s="1232">
        <f>+'Ventas y EBITDA'!J7</f>
        <v>42288.669590507023</v>
      </c>
      <c r="K9" s="1232">
        <f>+'Ventas y EBITDA'!K7</f>
        <v>45073.241445245927</v>
      </c>
      <c r="L9" s="1232">
        <f>+'Ventas y EBITDA'!L7</f>
        <v>47285.32827036464</v>
      </c>
      <c r="M9" s="1232">
        <f>+'Ventas y EBITDA'!M7</f>
        <v>50459.954381595293</v>
      </c>
      <c r="N9" s="1232">
        <f>+'Ventas y EBITDA'!N7</f>
        <v>53762.937728825062</v>
      </c>
      <c r="O9" s="1236">
        <f>+'Ventas y EBITDA'!O7</f>
        <v>57352.806559883211</v>
      </c>
    </row>
    <row r="10" spans="1:15" hidden="1">
      <c r="A10" s="1218" t="s">
        <v>1294</v>
      </c>
      <c r="B10" s="1228">
        <f>+'Ventas y EBITDA'!B8</f>
        <v>0.46099175031616096</v>
      </c>
      <c r="C10" s="1228">
        <f>+'Ventas y EBITDA'!C8</f>
        <v>0.38031846708634032</v>
      </c>
      <c r="D10" s="1228">
        <f>+'Ventas y EBITDA'!D8</f>
        <v>0.35268584763930044</v>
      </c>
      <c r="E10" s="1228">
        <f>+'Ventas y EBITDA'!E8</f>
        <v>0.3410196921410184</v>
      </c>
      <c r="F10" s="1228">
        <f>+'Ventas y EBITDA'!F8</f>
        <v>0.38154346146744267</v>
      </c>
      <c r="G10" s="1228">
        <f>+'Ventas y EBITDA'!G8</f>
        <v>0.35657376212247321</v>
      </c>
      <c r="H10" s="1228">
        <f>+'Ventas y EBITDA'!H8</f>
        <v>0.35654828572824138</v>
      </c>
      <c r="I10" s="1228">
        <f>+'Ventas y EBITDA'!I8</f>
        <v>0.37891668547368929</v>
      </c>
      <c r="J10" s="1237">
        <f>+'Ventas y EBITDA'!J8</f>
        <v>0.37844302856087997</v>
      </c>
      <c r="K10" s="1237">
        <f>+'Ventas y EBITDA'!K8</f>
        <v>0.37796937164807071</v>
      </c>
      <c r="L10" s="1237">
        <f>+'Ventas y EBITDA'!L8</f>
        <v>0.37749571473526133</v>
      </c>
      <c r="M10" s="1237">
        <f>+'Ventas y EBITDA'!M8</f>
        <v>0.37702205782245202</v>
      </c>
      <c r="N10" s="1237">
        <f>+'Ventas y EBITDA'!N8</f>
        <v>0.3765484009096427</v>
      </c>
      <c r="O10" s="1238">
        <f>+'Ventas y EBITDA'!O8</f>
        <v>0.37607474399683338</v>
      </c>
    </row>
    <row r="11" spans="1:15">
      <c r="A11" s="1219" t="s">
        <v>1274</v>
      </c>
      <c r="B11" s="1230">
        <f>+B7-B9</f>
        <v>36784.770000000004</v>
      </c>
      <c r="C11" s="1230">
        <f t="shared" ref="C11:O11" si="0">+C7-C9</f>
        <v>47108.991999999998</v>
      </c>
      <c r="D11" s="1230">
        <f t="shared" si="0"/>
        <v>51712.175999999992</v>
      </c>
      <c r="E11" s="1230">
        <f t="shared" si="0"/>
        <v>56512.510999999999</v>
      </c>
      <c r="F11" s="1230">
        <f t="shared" si="0"/>
        <v>56369.784000000007</v>
      </c>
      <c r="G11" s="1230">
        <f t="shared" si="0"/>
        <v>59535.900999999998</v>
      </c>
      <c r="H11" s="1230">
        <f t="shared" si="0"/>
        <v>64154.240000000005</v>
      </c>
      <c r="I11" s="1230">
        <f t="shared" si="0"/>
        <v>62057.62</v>
      </c>
      <c r="J11" s="1448">
        <f t="shared" si="0"/>
        <v>69455.150215924063</v>
      </c>
      <c r="K11" s="1448">
        <f t="shared" si="0"/>
        <v>74177.800639756315</v>
      </c>
      <c r="L11" s="1448">
        <f t="shared" si="0"/>
        <v>77975.241385441797</v>
      </c>
      <c r="M11" s="1448">
        <f t="shared" si="0"/>
        <v>83378.247746509369</v>
      </c>
      <c r="N11" s="1448">
        <f t="shared" si="0"/>
        <v>89015.354780047201</v>
      </c>
      <c r="O11" s="1449">
        <f t="shared" si="0"/>
        <v>95150.937643599202</v>
      </c>
    </row>
    <row r="12" spans="1:15">
      <c r="A12" s="1217" t="s">
        <v>1275</v>
      </c>
      <c r="B12" s="1240">
        <f>+'Ventas y EBITDA'!B10</f>
        <v>0.53900824968383898</v>
      </c>
      <c r="C12" s="701">
        <f>+'Ventas y EBITDA'!C10</f>
        <v>0.61968153291365968</v>
      </c>
      <c r="D12" s="701">
        <f>+'Ventas y EBITDA'!D10</f>
        <v>0.64731415236069956</v>
      </c>
      <c r="E12" s="701">
        <f>+'Ventas y EBITDA'!E10</f>
        <v>0.65898030785898154</v>
      </c>
      <c r="F12" s="701">
        <f>+'Ventas y EBITDA'!F10</f>
        <v>0.61845653853255733</v>
      </c>
      <c r="G12" s="701">
        <f>+'Ventas y EBITDA'!G10</f>
        <v>0.64342623787752673</v>
      </c>
      <c r="H12" s="701">
        <f>+'Ventas y EBITDA'!H10</f>
        <v>0.64345171427175862</v>
      </c>
      <c r="I12" s="701">
        <f>+'Ventas y EBITDA'!I10</f>
        <v>0.62108331452631071</v>
      </c>
      <c r="J12" s="1241">
        <f>+'Ventas y EBITDA'!J10</f>
        <v>0.62155697143912003</v>
      </c>
      <c r="K12" s="1241">
        <f>+'Ventas y EBITDA'!K10</f>
        <v>0.62203062835192935</v>
      </c>
      <c r="L12" s="1241">
        <f>+'Ventas y EBITDA'!L10</f>
        <v>0.62250428526473867</v>
      </c>
      <c r="M12" s="1241">
        <f>+'Ventas y EBITDA'!M10</f>
        <v>0.62297794217754798</v>
      </c>
      <c r="N12" s="1241">
        <f>+'Ventas y EBITDA'!N10</f>
        <v>0.6234515990903573</v>
      </c>
      <c r="O12" s="1196">
        <f>+'Ventas y EBITDA'!O10</f>
        <v>0.62392525600316662</v>
      </c>
    </row>
    <row r="13" spans="1:15">
      <c r="A13" s="411"/>
      <c r="J13" s="1239"/>
      <c r="K13" s="1239"/>
      <c r="L13" s="1239"/>
      <c r="M13" s="1239"/>
      <c r="N13" s="1239"/>
      <c r="O13" s="1194"/>
    </row>
    <row r="14" spans="1:15">
      <c r="A14" s="1217" t="s">
        <v>1295</v>
      </c>
      <c r="B14" s="1242">
        <f>+'Anexo 2 - ER'!C12</f>
        <v>11636.29</v>
      </c>
      <c r="C14" s="1242">
        <f>+'Anexo 2 - ER'!D12</f>
        <v>12962.379000000001</v>
      </c>
      <c r="D14" s="1242">
        <f>+'Anexo 2 - ER'!E12</f>
        <v>12533.063</v>
      </c>
      <c r="E14" s="1242">
        <f>+'Anexo 2 - ER'!F12</f>
        <v>12488.513000000001</v>
      </c>
      <c r="F14" s="1242">
        <f>+'Anexo 2 - ER'!G12</f>
        <v>13763.71</v>
      </c>
      <c r="G14" s="1242">
        <f>+'Anexo 2 - ER'!H12</f>
        <v>15239.585999999999</v>
      </c>
      <c r="H14" s="1242">
        <f>+'Anexo 2 - ER'!I12</f>
        <v>16256.97</v>
      </c>
      <c r="I14" s="1242">
        <f>+'Anexo 2 - ER'!J12</f>
        <v>18952.78</v>
      </c>
      <c r="J14" s="1295">
        <f t="shared" ref="J14:O14" si="1">+J15*J19</f>
        <v>24602.591327512491</v>
      </c>
      <c r="K14" s="1295">
        <f t="shared" si="1"/>
        <v>27139.127703303442</v>
      </c>
      <c r="L14" s="1295">
        <f t="shared" si="1"/>
        <v>28952.138100960477</v>
      </c>
      <c r="M14" s="1295">
        <f t="shared" si="1"/>
        <v>31178.224745859756</v>
      </c>
      <c r="N14" s="1295">
        <f t="shared" si="1"/>
        <v>33266.344672931387</v>
      </c>
      <c r="O14" s="1296">
        <f t="shared" si="1"/>
        <v>35288.119810551056</v>
      </c>
    </row>
    <row r="15" spans="1:15" hidden="1">
      <c r="A15" s="1217" t="s">
        <v>1296</v>
      </c>
      <c r="B15" s="701">
        <f>+B14/B$19</f>
        <v>0.52785439928413913</v>
      </c>
      <c r="C15" s="701">
        <f t="shared" ref="C15:I15" si="2">+C14/C$19</f>
        <v>0.49092047131532013</v>
      </c>
      <c r="D15" s="701">
        <f t="shared" si="2"/>
        <v>0.39855380994761519</v>
      </c>
      <c r="E15" s="701">
        <f t="shared" si="2"/>
        <v>0.38031482061727179</v>
      </c>
      <c r="F15" s="701">
        <f t="shared" si="2"/>
        <v>0.37359033111348577</v>
      </c>
      <c r="G15" s="701">
        <f t="shared" si="2"/>
        <v>0.40697074367004438</v>
      </c>
      <c r="H15" s="701">
        <f t="shared" si="2"/>
        <v>0.35330225316716485</v>
      </c>
      <c r="I15" s="701">
        <f t="shared" si="2"/>
        <v>0.38558227403615514</v>
      </c>
      <c r="J15" s="1288">
        <f>+AVERAGE(B15:I15)</f>
        <v>0.41463613789389953</v>
      </c>
      <c r="K15" s="1288">
        <f>+J15</f>
        <v>0.41463613789389953</v>
      </c>
      <c r="L15" s="1288">
        <f>+K15</f>
        <v>0.41463613789389953</v>
      </c>
      <c r="M15" s="1288">
        <f>+L15</f>
        <v>0.41463613789389953</v>
      </c>
      <c r="N15" s="1288">
        <f>+M15</f>
        <v>0.41463613789389953</v>
      </c>
      <c r="O15" s="1289">
        <f>+N15</f>
        <v>0.41463613789389953</v>
      </c>
    </row>
    <row r="16" spans="1:15">
      <c r="A16" s="1217" t="s">
        <v>1297</v>
      </c>
      <c r="B16" s="1242">
        <f>+'Anexo 2 - ER'!C10</f>
        <v>10408.217000000001</v>
      </c>
      <c r="C16" s="1242">
        <f>+'Anexo 2 - ER'!D10</f>
        <v>13441.855</v>
      </c>
      <c r="D16" s="1242">
        <f>+'Anexo 2 - ER'!E10</f>
        <v>18913.288</v>
      </c>
      <c r="E16" s="1242">
        <f>+'Anexo 2 - ER'!F10</f>
        <v>20348.79</v>
      </c>
      <c r="F16" s="1242">
        <f>+'Anexo 2 - ER'!G10</f>
        <v>23078.008999999998</v>
      </c>
      <c r="G16" s="1242">
        <f>+'Anexo 2 - ER'!H10</f>
        <v>22206.806</v>
      </c>
      <c r="H16" s="1242">
        <f>+'Anexo 2 - ER'!I10</f>
        <v>29757.37</v>
      </c>
      <c r="I16" s="1242">
        <f>+'Anexo 2 - ER'!J10</f>
        <v>30200.880000000001</v>
      </c>
      <c r="J16" s="1295">
        <f t="shared" ref="J16:O16" si="3">+J17*J19</f>
        <v>34732.785112367426</v>
      </c>
      <c r="K16" s="1297">
        <f t="shared" si="3"/>
        <v>38313.748259592052</v>
      </c>
      <c r="L16" s="1297">
        <f t="shared" si="3"/>
        <v>40873.271348442082</v>
      </c>
      <c r="M16" s="1297">
        <f t="shared" si="3"/>
        <v>44015.956118900976</v>
      </c>
      <c r="N16" s="1297">
        <f t="shared" si="3"/>
        <v>46963.865944754441</v>
      </c>
      <c r="O16" s="1298">
        <f t="shared" si="3"/>
        <v>49818.113306980209</v>
      </c>
    </row>
    <row r="17" spans="1:15" hidden="1">
      <c r="A17" s="1217" t="s">
        <v>1296</v>
      </c>
      <c r="B17" s="701">
        <f>+B16/B$19</f>
        <v>0.47214560071586087</v>
      </c>
      <c r="C17" s="701">
        <f t="shared" ref="C17:I17" si="4">+C16/C$19</f>
        <v>0.50907952868467987</v>
      </c>
      <c r="D17" s="701">
        <f t="shared" si="4"/>
        <v>0.60144619005238475</v>
      </c>
      <c r="E17" s="701">
        <f t="shared" si="4"/>
        <v>0.61968517938272827</v>
      </c>
      <c r="F17" s="701">
        <f t="shared" si="4"/>
        <v>0.62640966888651417</v>
      </c>
      <c r="G17" s="701">
        <f t="shared" si="4"/>
        <v>0.59302925632995562</v>
      </c>
      <c r="H17" s="701">
        <f t="shared" si="4"/>
        <v>0.64669774683283521</v>
      </c>
      <c r="I17" s="701">
        <f t="shared" si="4"/>
        <v>0.61441772596384481</v>
      </c>
      <c r="J17" s="1288">
        <f>+AVERAGE(B17:I17)</f>
        <v>0.58536386210610036</v>
      </c>
      <c r="K17" s="1241">
        <f>+J17</f>
        <v>0.58536386210610036</v>
      </c>
      <c r="L17" s="1241">
        <f>+K17</f>
        <v>0.58536386210610036</v>
      </c>
      <c r="M17" s="1241">
        <f>+L17</f>
        <v>0.58536386210610036</v>
      </c>
      <c r="N17" s="1241">
        <f>+M17</f>
        <v>0.58536386210610036</v>
      </c>
      <c r="O17" s="1196">
        <f>+N17</f>
        <v>0.58536386210610036</v>
      </c>
    </row>
    <row r="18" spans="1:15">
      <c r="A18" s="411"/>
      <c r="J18" s="1239"/>
      <c r="K18" s="1239"/>
      <c r="L18" s="1239"/>
      <c r="M18" s="1239"/>
      <c r="N18" s="1239"/>
      <c r="O18" s="1194"/>
    </row>
    <row r="19" spans="1:15">
      <c r="A19" s="1220" t="s">
        <v>1298</v>
      </c>
      <c r="B19" s="1244">
        <f>+B14+B16</f>
        <v>22044.507000000001</v>
      </c>
      <c r="C19" s="1244">
        <f t="shared" ref="C19:I19" si="5">+C14+C16</f>
        <v>26404.234</v>
      </c>
      <c r="D19" s="1244">
        <f t="shared" si="5"/>
        <v>31446.351000000002</v>
      </c>
      <c r="E19" s="1244">
        <f t="shared" si="5"/>
        <v>32837.303</v>
      </c>
      <c r="F19" s="1244">
        <f t="shared" si="5"/>
        <v>36841.718999999997</v>
      </c>
      <c r="G19" s="1244">
        <f t="shared" si="5"/>
        <v>37446.392</v>
      </c>
      <c r="H19" s="1244">
        <f t="shared" si="5"/>
        <v>46014.34</v>
      </c>
      <c r="I19" s="1244">
        <f t="shared" si="5"/>
        <v>49153.66</v>
      </c>
      <c r="J19" s="1290">
        <f t="shared" ref="J19:O19" si="6">+J11-J20</f>
        <v>59335.376439879925</v>
      </c>
      <c r="K19" s="1291">
        <f t="shared" si="6"/>
        <v>65452.875962895501</v>
      </c>
      <c r="L19" s="1291">
        <f t="shared" si="6"/>
        <v>69825.409449402563</v>
      </c>
      <c r="M19" s="1291">
        <f t="shared" si="6"/>
        <v>75194.180864760739</v>
      </c>
      <c r="N19" s="1291">
        <f t="shared" si="6"/>
        <v>80230.210617685836</v>
      </c>
      <c r="O19" s="1292">
        <f t="shared" si="6"/>
        <v>85106.233117531272</v>
      </c>
    </row>
    <row r="20" spans="1:15">
      <c r="A20" s="1219" t="s">
        <v>65</v>
      </c>
      <c r="B20" s="1243">
        <f>+B11-B19</f>
        <v>14740.263000000003</v>
      </c>
      <c r="C20" s="1243">
        <f t="shared" ref="C20:I20" si="7">+C11-C19</f>
        <v>20704.757999999998</v>
      </c>
      <c r="D20" s="1243">
        <f t="shared" si="7"/>
        <v>20265.82499999999</v>
      </c>
      <c r="E20" s="1243">
        <f t="shared" si="7"/>
        <v>23675.207999999999</v>
      </c>
      <c r="F20" s="1243">
        <f t="shared" si="7"/>
        <v>19528.06500000001</v>
      </c>
      <c r="G20" s="1243">
        <f t="shared" si="7"/>
        <v>22089.508999999998</v>
      </c>
      <c r="H20" s="1243">
        <f t="shared" si="7"/>
        <v>18139.900000000009</v>
      </c>
      <c r="I20" s="1243">
        <f t="shared" si="7"/>
        <v>12903.96</v>
      </c>
      <c r="J20" s="1287">
        <f>+J31+Supuestos!J23+Supuestos!J34</f>
        <v>10119.773776044136</v>
      </c>
      <c r="K20" s="1232">
        <f>+K31+Supuestos!K23+Supuestos!K34</f>
        <v>8724.9246768608155</v>
      </c>
      <c r="L20" s="1232">
        <f>+L31+Supuestos!L23+Supuestos!L34</f>
        <v>8149.8319360392379</v>
      </c>
      <c r="M20" s="1232">
        <f>+M31+Supuestos!M23+Supuestos!M34</f>
        <v>8184.0668817486221</v>
      </c>
      <c r="N20" s="1232">
        <f>+N31+Supuestos!N23+Supuestos!N34</f>
        <v>8785.1441623613591</v>
      </c>
      <c r="O20" s="1236">
        <f>+O31+Supuestos!O23+Supuestos!O34</f>
        <v>10044.70452606793</v>
      </c>
    </row>
    <row r="21" spans="1:15">
      <c r="A21" s="1219" t="s">
        <v>1299</v>
      </c>
      <c r="B21" s="701">
        <f>+B20/B7</f>
        <v>0.21598948041565719</v>
      </c>
      <c r="C21" s="701">
        <f t="shared" ref="C21:I21" si="8">+C20/C7</f>
        <v>0.27235471682447288</v>
      </c>
      <c r="D21" s="701">
        <f t="shared" si="8"/>
        <v>0.2536802035127137</v>
      </c>
      <c r="E21" s="701">
        <f t="shared" si="8"/>
        <v>0.27607153850349037</v>
      </c>
      <c r="F21" s="701">
        <f t="shared" si="8"/>
        <v>0.2142505900703609</v>
      </c>
      <c r="G21" s="701">
        <f t="shared" si="8"/>
        <v>0.23872939577133079</v>
      </c>
      <c r="H21" s="701">
        <f t="shared" si="8"/>
        <v>0.18193886720064456</v>
      </c>
      <c r="I21" s="701">
        <f t="shared" si="8"/>
        <v>0.12914504693081899</v>
      </c>
      <c r="J21" s="1241">
        <f t="shared" ref="J21:O21" si="9">+J20/J7</f>
        <v>9.0562268173525626E-2</v>
      </c>
      <c r="K21" s="1241">
        <f t="shared" si="9"/>
        <v>7.3164347449825071E-2</v>
      </c>
      <c r="L21" s="1241">
        <f t="shared" si="9"/>
        <v>6.5063027882066263E-2</v>
      </c>
      <c r="M21" s="1241">
        <f t="shared" si="9"/>
        <v>6.1148960099711706E-2</v>
      </c>
      <c r="N21" s="1241">
        <f t="shared" si="9"/>
        <v>6.1529970753890682E-2</v>
      </c>
      <c r="O21" s="1196">
        <f t="shared" si="9"/>
        <v>6.5865297790102126E-2</v>
      </c>
    </row>
    <row r="22" spans="1:15">
      <c r="A22" s="411"/>
      <c r="J22" s="1239"/>
      <c r="K22" s="1239"/>
      <c r="L22" s="1239"/>
      <c r="M22" s="1239"/>
      <c r="N22" s="1239"/>
      <c r="O22" s="1194"/>
    </row>
    <row r="23" spans="1:15">
      <c r="A23" s="1219" t="s">
        <v>1300</v>
      </c>
      <c r="B23" s="1242">
        <f>+'Anexo 2 - ER'!C17</f>
        <v>15307.147999999999</v>
      </c>
      <c r="C23" s="1242">
        <f>+'Anexo 2 - ER'!D17</f>
        <v>28760.128000000001</v>
      </c>
      <c r="D23" s="1242">
        <f>+'Anexo 2 - ER'!E17</f>
        <v>23005.704000000002</v>
      </c>
      <c r="E23" s="1242">
        <f>+'Anexo 2 - ER'!F17</f>
        <v>12255.781000000001</v>
      </c>
      <c r="F23" s="1242">
        <f>+'Anexo 2 - ER'!G17</f>
        <v>19736.356</v>
      </c>
      <c r="G23" s="1242">
        <f>+'Anexo 2 - ER'!H17</f>
        <v>17457.718000000001</v>
      </c>
      <c r="H23" s="1242">
        <f>+'Anexo 2 - ER'!I17</f>
        <v>11521.62</v>
      </c>
      <c r="I23" s="1242">
        <f>+'Anexo 2 - ER'!J17</f>
        <v>28394.92</v>
      </c>
      <c r="J23" s="1297">
        <f>+I23*(1+'Base de Datos'!$D$17)</f>
        <v>30317.256084000001</v>
      </c>
      <c r="K23" s="1297">
        <f>+J23*(1+'Base de Datos'!$D$18)</f>
        <v>31651.215351696002</v>
      </c>
      <c r="L23" s="1297">
        <f>+K23*(1+'Base de Datos'!$D$19)</f>
        <v>32632.403027598575</v>
      </c>
      <c r="M23" s="1297">
        <f>+L23*(1+'Base de Datos'!$D$20)</f>
        <v>33644.007521454128</v>
      </c>
      <c r="N23" s="1297">
        <f>+M23*(1+'Base de Datos'!$D$21)</f>
        <v>34653.327747097755</v>
      </c>
      <c r="O23" s="1298">
        <f>+N23*(1+'Base de Datos'!$D$22)</f>
        <v>35692.927579510688</v>
      </c>
    </row>
    <row r="24" spans="1:15">
      <c r="A24" s="1219" t="s">
        <v>1301</v>
      </c>
      <c r="B24" s="1242">
        <f>+'Anexo 2 - ER'!C19</f>
        <v>10019.89</v>
      </c>
      <c r="C24" s="1242">
        <f>+'Anexo 2 - ER'!D19</f>
        <v>15119.264999999999</v>
      </c>
      <c r="D24" s="1242">
        <f>+'Anexo 2 - ER'!E19</f>
        <v>20300.142</v>
      </c>
      <c r="E24" s="1242">
        <f>+'Anexo 2 - ER'!F19</f>
        <v>8266.6290000000008</v>
      </c>
      <c r="F24" s="1242">
        <f>+'Anexo 2 - ER'!G19</f>
        <v>10807.315000000001</v>
      </c>
      <c r="G24" s="1242">
        <f>+'Anexo 2 - ER'!H19</f>
        <v>15530.805</v>
      </c>
      <c r="H24" s="1242">
        <f>+'Anexo 2 - ER'!I19</f>
        <v>6474.93</v>
      </c>
      <c r="I24" s="1242">
        <f>+'Anexo 2 - ER'!J19</f>
        <v>16943.89</v>
      </c>
      <c r="J24" s="1297">
        <f>+I24*(1+'Base de Datos'!$D$17)</f>
        <v>18090.991353000001</v>
      </c>
      <c r="K24" s="1297">
        <f>+J24*(1+'Base de Datos'!$D$18)</f>
        <v>18886.994972532</v>
      </c>
      <c r="L24" s="1297">
        <f>+K24*(1+'Base de Datos'!$D$19)</f>
        <v>19472.491816680489</v>
      </c>
      <c r="M24" s="1297">
        <f>+L24*(1+'Base de Datos'!$D$20)</f>
        <v>20076.139062997583</v>
      </c>
      <c r="N24" s="1297">
        <f>+M24*(1+'Base de Datos'!$D$21)</f>
        <v>20678.423234887512</v>
      </c>
      <c r="O24" s="1298">
        <f>+N24*(1+'Base de Datos'!$D$22)</f>
        <v>21298.775931934138</v>
      </c>
    </row>
    <row r="25" spans="1:15">
      <c r="A25" s="1273" t="s">
        <v>1302</v>
      </c>
      <c r="B25" s="1247">
        <f>+B20+B23-B24</f>
        <v>20027.521000000001</v>
      </c>
      <c r="C25" s="1247">
        <f t="shared" ref="C25:I25" si="10">+C20+C23-C24</f>
        <v>34345.620999999999</v>
      </c>
      <c r="D25" s="1247">
        <f t="shared" si="10"/>
        <v>22971.386999999995</v>
      </c>
      <c r="E25" s="1247">
        <f t="shared" si="10"/>
        <v>27664.36</v>
      </c>
      <c r="F25" s="1247">
        <f t="shared" si="10"/>
        <v>28457.106000000007</v>
      </c>
      <c r="G25" s="1247">
        <f t="shared" si="10"/>
        <v>24016.421999999999</v>
      </c>
      <c r="H25" s="1247">
        <f t="shared" si="10"/>
        <v>23186.590000000011</v>
      </c>
      <c r="I25" s="1247">
        <f t="shared" si="10"/>
        <v>24354.989999999998</v>
      </c>
      <c r="J25" s="1299">
        <f t="shared" ref="J25:O25" si="11">+J20+J23-J24</f>
        <v>22346.038507044137</v>
      </c>
      <c r="K25" s="1300">
        <f t="shared" si="11"/>
        <v>21489.145056024816</v>
      </c>
      <c r="L25" s="1300">
        <f t="shared" si="11"/>
        <v>21309.743146957324</v>
      </c>
      <c r="M25" s="1300">
        <f t="shared" si="11"/>
        <v>21751.935340205167</v>
      </c>
      <c r="N25" s="1300">
        <f t="shared" si="11"/>
        <v>22760.048674571601</v>
      </c>
      <c r="O25" s="1301">
        <f t="shared" si="11"/>
        <v>24438.856173644479</v>
      </c>
    </row>
    <row r="26" spans="1:15">
      <c r="A26" s="411"/>
      <c r="J26" s="1239"/>
      <c r="K26" s="1239"/>
      <c r="L26" s="1239"/>
      <c r="M26" s="1239"/>
      <c r="N26" s="1239"/>
      <c r="O26" s="1194"/>
    </row>
    <row r="27" spans="1:15" hidden="1">
      <c r="A27" s="1217" t="s">
        <v>1303</v>
      </c>
      <c r="I27" s="1302">
        <v>0.34</v>
      </c>
      <c r="J27" s="1303">
        <f t="shared" ref="J27:O27" si="12">+I27</f>
        <v>0.34</v>
      </c>
      <c r="K27" s="1293">
        <f t="shared" si="12"/>
        <v>0.34</v>
      </c>
      <c r="L27" s="1293">
        <f t="shared" si="12"/>
        <v>0.34</v>
      </c>
      <c r="M27" s="1293">
        <f t="shared" si="12"/>
        <v>0.34</v>
      </c>
      <c r="N27" s="1293">
        <f t="shared" si="12"/>
        <v>0.34</v>
      </c>
      <c r="O27" s="1294">
        <f t="shared" si="12"/>
        <v>0.34</v>
      </c>
    </row>
    <row r="28" spans="1:15">
      <c r="A28" s="1217" t="s">
        <v>1304</v>
      </c>
      <c r="B28" s="1242">
        <f>+'Anexo 2 - ER'!C25</f>
        <v>7721.2330000000002</v>
      </c>
      <c r="C28" s="1242">
        <f>+'Anexo 2 - ER'!D25</f>
        <v>11405.083000000001</v>
      </c>
      <c r="D28" s="1242">
        <f>+'Anexo 2 - ER'!E25</f>
        <v>8982.3680000000004</v>
      </c>
      <c r="E28" s="1242">
        <f>+'Anexo 2 - ER'!F25</f>
        <v>9483.6110000000008</v>
      </c>
      <c r="F28" s="1242">
        <f>+'Anexo 2 - ER'!G25</f>
        <v>10511.474</v>
      </c>
      <c r="G28" s="1242">
        <f>+'Anexo 2 - ER'!H25</f>
        <v>8978.643</v>
      </c>
      <c r="H28" s="1242">
        <f>+'Anexo 2 - ER'!I25</f>
        <v>9345.31</v>
      </c>
      <c r="I28" s="1242">
        <f>+'Anexo 2 - ER'!J25</f>
        <v>9339.66</v>
      </c>
      <c r="J28" s="1297">
        <f t="shared" ref="J28:O28" si="13">+J20*J27</f>
        <v>3440.7230838550063</v>
      </c>
      <c r="K28" s="1297">
        <f t="shared" si="13"/>
        <v>2966.4743901326774</v>
      </c>
      <c r="L28" s="1297">
        <f t="shared" si="13"/>
        <v>2770.942858253341</v>
      </c>
      <c r="M28" s="1297">
        <f t="shared" si="13"/>
        <v>2782.5827397945318</v>
      </c>
      <c r="N28" s="1297">
        <f t="shared" si="13"/>
        <v>2986.9490152028625</v>
      </c>
      <c r="O28" s="1298">
        <f t="shared" si="13"/>
        <v>3415.1995388630962</v>
      </c>
    </row>
    <row r="29" spans="1:15" ht="15.75" thickBot="1">
      <c r="A29" s="1221" t="s">
        <v>79</v>
      </c>
      <c r="B29" s="1246">
        <f>+B25-B28</f>
        <v>12306.288</v>
      </c>
      <c r="C29" s="1246">
        <f t="shared" ref="C29:I29" si="14">+C25-C28</f>
        <v>22940.538</v>
      </c>
      <c r="D29" s="1246">
        <f t="shared" si="14"/>
        <v>13989.018999999995</v>
      </c>
      <c r="E29" s="1246">
        <f t="shared" si="14"/>
        <v>18180.749</v>
      </c>
      <c r="F29" s="1246">
        <f t="shared" si="14"/>
        <v>17945.632000000005</v>
      </c>
      <c r="G29" s="1246">
        <f t="shared" si="14"/>
        <v>15037.778999999999</v>
      </c>
      <c r="H29" s="1246">
        <f t="shared" si="14"/>
        <v>13841.280000000012</v>
      </c>
      <c r="I29" s="1246">
        <f t="shared" si="14"/>
        <v>15015.329999999998</v>
      </c>
      <c r="J29" s="1304">
        <f t="shared" ref="J29:O29" si="15">+J25-J28</f>
        <v>18905.315423189131</v>
      </c>
      <c r="K29" s="1305">
        <f t="shared" si="15"/>
        <v>18522.670665892139</v>
      </c>
      <c r="L29" s="1305">
        <f t="shared" si="15"/>
        <v>18538.800288703984</v>
      </c>
      <c r="M29" s="1305">
        <f t="shared" si="15"/>
        <v>18969.352600410635</v>
      </c>
      <c r="N29" s="1305">
        <f t="shared" si="15"/>
        <v>19773.099659368738</v>
      </c>
      <c r="O29" s="1306">
        <f t="shared" si="15"/>
        <v>21023.656634781382</v>
      </c>
    </row>
    <row r="30" spans="1:15" ht="15.75" thickTop="1">
      <c r="A30" s="1219"/>
    </row>
    <row r="31" spans="1:15" ht="15.75" thickBot="1">
      <c r="A31" s="1222" t="s">
        <v>5</v>
      </c>
      <c r="B31" s="1248">
        <f>+'Ventas y EBITDA'!B13</f>
        <v>15167.788</v>
      </c>
      <c r="C31" s="1248">
        <f>+'Ventas y EBITDA'!C13</f>
        <v>21161.253000000004</v>
      </c>
      <c r="D31" s="1248">
        <f>+'Ventas y EBITDA'!D13</f>
        <v>20705.576000000001</v>
      </c>
      <c r="E31" s="1248">
        <f>+'Ventas y EBITDA'!E13</f>
        <v>24154.934999999998</v>
      </c>
      <c r="F31" s="1248">
        <f>+'Ventas y EBITDA'!F13</f>
        <v>19909.325999999997</v>
      </c>
      <c r="G31" s="1248">
        <f>+'Ventas y EBITDA'!G13</f>
        <v>22452.508999999998</v>
      </c>
      <c r="H31" s="1248">
        <f>+'Ventas y EBITDA'!H13</f>
        <v>18457.900000000009</v>
      </c>
      <c r="I31" s="1248">
        <f>+'Ventas y EBITDA'!I13</f>
        <v>13212.540000000003</v>
      </c>
      <c r="J31" s="1249">
        <f>+'Ventas y EBITDA'!J13</f>
        <v>10413.907411225004</v>
      </c>
      <c r="K31" s="1249">
        <f>+'Ventas y EBITDA'!K13</f>
        <v>8961.6555747712555</v>
      </c>
      <c r="L31" s="1249">
        <f>+'Ventas y EBITDA'!L13</f>
        <v>8360.4195641566512</v>
      </c>
      <c r="M31" s="1249">
        <f>+'Ventas y EBITDA'!M13</f>
        <v>8404.5077525372235</v>
      </c>
      <c r="N31" s="1249">
        <f>+'Ventas y EBITDA'!N13</f>
        <v>9057.006176421839</v>
      </c>
      <c r="O31" s="1250">
        <f>+'Ventas y EBITDA'!O13</f>
        <v>10415.557102885114</v>
      </c>
    </row>
    <row r="33" spans="1:15" ht="15.75" thickBot="1"/>
    <row r="34" spans="1:15" ht="15.75" thickBot="1">
      <c r="A34" s="1223" t="s">
        <v>1305</v>
      </c>
      <c r="B34" s="1226">
        <f>+B6</f>
        <v>2007</v>
      </c>
      <c r="C34" s="1226">
        <f t="shared" ref="C34:O34" si="16">+C6</f>
        <v>2008</v>
      </c>
      <c r="D34" s="1226">
        <f t="shared" si="16"/>
        <v>2009</v>
      </c>
      <c r="E34" s="1226">
        <f t="shared" si="16"/>
        <v>2010</v>
      </c>
      <c r="F34" s="1226">
        <f t="shared" si="16"/>
        <v>2011</v>
      </c>
      <c r="G34" s="1226">
        <f t="shared" si="16"/>
        <v>2012</v>
      </c>
      <c r="H34" s="1226">
        <f t="shared" si="16"/>
        <v>2013</v>
      </c>
      <c r="I34" s="1226">
        <f t="shared" si="16"/>
        <v>2014</v>
      </c>
      <c r="J34" s="1224">
        <f t="shared" si="16"/>
        <v>2015</v>
      </c>
      <c r="K34" s="1224">
        <f t="shared" si="16"/>
        <v>2016</v>
      </c>
      <c r="L34" s="1224">
        <f t="shared" si="16"/>
        <v>2017</v>
      </c>
      <c r="M34" s="1224">
        <f t="shared" si="16"/>
        <v>2018</v>
      </c>
      <c r="N34" s="1224">
        <f t="shared" si="16"/>
        <v>2019</v>
      </c>
      <c r="O34" s="1225">
        <f t="shared" si="16"/>
        <v>2020</v>
      </c>
    </row>
    <row r="35" spans="1:15">
      <c r="A35" s="1251" t="s">
        <v>1280</v>
      </c>
      <c r="O35" s="415"/>
    </row>
    <row r="36" spans="1:15">
      <c r="A36" s="64" t="s">
        <v>1306</v>
      </c>
      <c r="B36" s="1242">
        <f>+FER!C28</f>
        <v>6226.7349999999997</v>
      </c>
      <c r="C36" s="1242">
        <f>+FER!D28</f>
        <v>10449.946</v>
      </c>
      <c r="D36" s="1242">
        <f>+FER!E28</f>
        <v>8903.0879999999997</v>
      </c>
      <c r="E36" s="1242">
        <f>+FER!F28</f>
        <v>11296.766</v>
      </c>
      <c r="F36" s="1242">
        <f>+FER!G28</f>
        <v>7637.2430000000004</v>
      </c>
      <c r="G36" s="1242">
        <f>+FER!H28</f>
        <v>7760.9030000000002</v>
      </c>
      <c r="H36" s="1242">
        <f>+FER!I28</f>
        <v>11832</v>
      </c>
      <c r="I36" s="1242">
        <f>+FER!J28</f>
        <v>7493.665</v>
      </c>
      <c r="J36" s="1307">
        <f t="shared" ref="J36:O36" ca="1" si="17">+J110</f>
        <v>9461.7193935157447</v>
      </c>
      <c r="K36" s="1307">
        <f t="shared" ca="1" si="17"/>
        <v>11481.283911092809</v>
      </c>
      <c r="L36" s="1307">
        <f t="shared" ca="1" si="17"/>
        <v>14256.871780895934</v>
      </c>
      <c r="M36" s="1307">
        <f t="shared" ca="1" si="17"/>
        <v>17109.68127140154</v>
      </c>
      <c r="N36" s="1307">
        <f t="shared" ca="1" si="17"/>
        <v>20402.080501235538</v>
      </c>
      <c r="O36" s="1308">
        <f t="shared" ca="1" si="17"/>
        <v>24204.127737944513</v>
      </c>
    </row>
    <row r="37" spans="1:15">
      <c r="A37" s="64" t="s">
        <v>1307</v>
      </c>
      <c r="B37" s="1242">
        <f>+FER!C29</f>
        <v>4493.3069999999998</v>
      </c>
      <c r="C37" s="1242">
        <f>+FER!D29</f>
        <v>0</v>
      </c>
      <c r="D37" s="1242">
        <f>+FER!E29</f>
        <v>0</v>
      </c>
      <c r="E37" s="1242">
        <f>+FER!F29</f>
        <v>0</v>
      </c>
      <c r="F37" s="1242">
        <f>+FER!G29</f>
        <v>0</v>
      </c>
      <c r="G37" s="1242">
        <f>+FER!H29</f>
        <v>0</v>
      </c>
      <c r="H37" s="1242">
        <f>+FER!I29</f>
        <v>0</v>
      </c>
      <c r="I37" s="1242">
        <f>+FER!J29</f>
        <v>0</v>
      </c>
      <c r="J37" s="1307">
        <f t="shared" ref="J37:O37" si="18">+I37</f>
        <v>0</v>
      </c>
      <c r="K37" s="1307">
        <f t="shared" si="18"/>
        <v>0</v>
      </c>
      <c r="L37" s="1307">
        <f t="shared" si="18"/>
        <v>0</v>
      </c>
      <c r="M37" s="1307">
        <f t="shared" si="18"/>
        <v>0</v>
      </c>
      <c r="N37" s="1307">
        <f t="shared" si="18"/>
        <v>0</v>
      </c>
      <c r="O37" s="1308">
        <f t="shared" si="18"/>
        <v>0</v>
      </c>
    </row>
    <row r="38" spans="1:15">
      <c r="A38" s="64" t="s">
        <v>1308</v>
      </c>
      <c r="B38" s="1242">
        <f>+FER!C30</f>
        <v>52546.419000000002</v>
      </c>
      <c r="C38" s="1242">
        <f>+FER!D30</f>
        <v>74267.982000000004</v>
      </c>
      <c r="D38" s="1242">
        <f>+FER!E30</f>
        <v>29225.924999999999</v>
      </c>
      <c r="E38" s="1242">
        <f>+FER!F30</f>
        <v>32478.819</v>
      </c>
      <c r="F38" s="1242">
        <f>+FER!G30</f>
        <v>36059.01</v>
      </c>
      <c r="G38" s="1242">
        <f>+FER!H30</f>
        <v>38908.821000000004</v>
      </c>
      <c r="H38" s="1242">
        <f>+FER!I30</f>
        <v>50547</v>
      </c>
      <c r="I38" s="1242">
        <f>+FER!J30</f>
        <v>78654.81</v>
      </c>
      <c r="J38" s="1307">
        <f>+(Supuestos!J5*'Estados Financieros (P)'!J7)/365</f>
        <v>84018.25374164946</v>
      </c>
      <c r="K38" s="1307">
        <f>+(Supuestos!K5*'Estados Financieros (P)'!K7)/365</f>
        <v>85452.281630557467</v>
      </c>
      <c r="L38" s="1307">
        <f>+(Supuestos!L5*'Estados Financieros (P)'!L7)/365</f>
        <v>85335.849109634975</v>
      </c>
      <c r="M38" s="1307">
        <f>+(Supuestos!M5*'Estados Financieros (P)'!M7)/365</f>
        <v>86453.936461005491</v>
      </c>
      <c r="N38" s="1307">
        <f>+(Supuestos!N5*'Estados Financieros (P)'!N7)/365</f>
        <v>87187.639757193436</v>
      </c>
      <c r="O38" s="1308">
        <f>+(Supuestos!O5*'Estados Financieros (P)'!O7)/365</f>
        <v>87741.880226661116</v>
      </c>
    </row>
    <row r="39" spans="1:15">
      <c r="A39" s="64" t="s">
        <v>1309</v>
      </c>
      <c r="B39" s="1242">
        <f>+FER!C31</f>
        <v>0</v>
      </c>
      <c r="C39" s="1242">
        <f>+FER!D31</f>
        <v>0</v>
      </c>
      <c r="D39" s="1242">
        <f>+FER!E31</f>
        <v>0</v>
      </c>
      <c r="E39" s="1242">
        <f>+FER!F31</f>
        <v>0</v>
      </c>
      <c r="F39" s="1242">
        <f>+FER!G31</f>
        <v>0</v>
      </c>
      <c r="G39" s="1242">
        <f>+FER!H31</f>
        <v>0</v>
      </c>
      <c r="H39" s="1242">
        <f>+FER!I31</f>
        <v>0</v>
      </c>
      <c r="I39" s="1242">
        <f>+FER!J31</f>
        <v>0</v>
      </c>
      <c r="J39" s="1307">
        <f>+(Supuestos!J7*'Estados Financieros (P)'!J9)/365</f>
        <v>0</v>
      </c>
      <c r="K39" s="1307">
        <f>+(Supuestos!K7*'Estados Financieros (P)'!K9)/365</f>
        <v>0</v>
      </c>
      <c r="L39" s="1307">
        <f>+(Supuestos!L7*'Estados Financieros (P)'!L9)/365</f>
        <v>0</v>
      </c>
      <c r="M39" s="1307">
        <f>+(Supuestos!M7*'Estados Financieros (P)'!M9)/365</f>
        <v>0</v>
      </c>
      <c r="N39" s="1307">
        <f>+(Supuestos!N7*'Estados Financieros (P)'!N9)/365</f>
        <v>0</v>
      </c>
      <c r="O39" s="1308">
        <f>+(Supuestos!O7*'Estados Financieros (P)'!O9)/365</f>
        <v>0</v>
      </c>
    </row>
    <row r="40" spans="1:15">
      <c r="A40" s="64" t="s">
        <v>1310</v>
      </c>
      <c r="B40" s="1242">
        <f>+FER!C32</f>
        <v>1616.4680000000001</v>
      </c>
      <c r="C40" s="1242">
        <f>+FER!D32</f>
        <v>2495.2939999999999</v>
      </c>
      <c r="D40" s="1242">
        <f>+FER!E32</f>
        <v>2877.3119999999999</v>
      </c>
      <c r="E40" s="1242">
        <f>+FER!F32</f>
        <v>2499.5610000000001</v>
      </c>
      <c r="F40" s="1242">
        <f>+FER!G32</f>
        <v>2881.652</v>
      </c>
      <c r="G40" s="1242">
        <f>+FER!H32</f>
        <v>3277.19</v>
      </c>
      <c r="H40" s="1242">
        <f>+FER!I32</f>
        <v>3316</v>
      </c>
      <c r="I40" s="1242">
        <f>+FER!J32</f>
        <v>3019.8939999999998</v>
      </c>
      <c r="J40" s="1307">
        <f t="shared" ref="J40:O40" si="19">+I40</f>
        <v>3019.8939999999998</v>
      </c>
      <c r="K40" s="1307">
        <f t="shared" si="19"/>
        <v>3019.8939999999998</v>
      </c>
      <c r="L40" s="1307">
        <f t="shared" si="19"/>
        <v>3019.8939999999998</v>
      </c>
      <c r="M40" s="1307">
        <f t="shared" si="19"/>
        <v>3019.8939999999998</v>
      </c>
      <c r="N40" s="1307">
        <f t="shared" si="19"/>
        <v>3019.8939999999998</v>
      </c>
      <c r="O40" s="1308">
        <f t="shared" si="19"/>
        <v>3019.8939999999998</v>
      </c>
    </row>
    <row r="41" spans="1:15">
      <c r="A41" s="1252" t="s">
        <v>1311</v>
      </c>
      <c r="B41" s="1254">
        <f>SUM(B36:B40)</f>
        <v>64882.929000000004</v>
      </c>
      <c r="C41" s="1254">
        <f t="shared" ref="C41:I41" si="20">SUM(C36:C40)</f>
        <v>87213.221999999994</v>
      </c>
      <c r="D41" s="1254">
        <f t="shared" si="20"/>
        <v>41006.324999999997</v>
      </c>
      <c r="E41" s="1254">
        <f t="shared" si="20"/>
        <v>46275.146000000001</v>
      </c>
      <c r="F41" s="1254">
        <f t="shared" si="20"/>
        <v>46577.905000000006</v>
      </c>
      <c r="G41" s="1254">
        <f t="shared" si="20"/>
        <v>49946.914000000004</v>
      </c>
      <c r="H41" s="1254">
        <f t="shared" si="20"/>
        <v>65695</v>
      </c>
      <c r="I41" s="1254">
        <f t="shared" si="20"/>
        <v>89168.368999999992</v>
      </c>
      <c r="J41" s="1309">
        <f t="shared" ref="J41:O41" ca="1" si="21">SUM(J36:J40)</f>
        <v>96499.867135165201</v>
      </c>
      <c r="K41" s="1309">
        <f t="shared" ca="1" si="21"/>
        <v>99953.459541650271</v>
      </c>
      <c r="L41" s="1309">
        <f t="shared" ca="1" si="21"/>
        <v>102612.61489053091</v>
      </c>
      <c r="M41" s="1309">
        <f t="shared" ca="1" si="21"/>
        <v>106583.51173240703</v>
      </c>
      <c r="N41" s="1309">
        <f t="shared" ca="1" si="21"/>
        <v>110609.61425842898</v>
      </c>
      <c r="O41" s="1310">
        <f t="shared" ca="1" si="21"/>
        <v>114965.90196460563</v>
      </c>
    </row>
    <row r="42" spans="1:15">
      <c r="A42" s="17" t="s">
        <v>1312</v>
      </c>
      <c r="J42" s="1311"/>
      <c r="K42" s="1311"/>
      <c r="L42" s="1311"/>
      <c r="M42" s="1311"/>
      <c r="N42" s="1311"/>
      <c r="O42" s="1312"/>
    </row>
    <row r="43" spans="1:15">
      <c r="A43" s="64" t="s">
        <v>1313</v>
      </c>
      <c r="B43" s="1242">
        <f>+FER!C34</f>
        <v>247.46</v>
      </c>
      <c r="C43" s="1242">
        <f>+FER!D34</f>
        <v>144.49199999999999</v>
      </c>
      <c r="D43" s="1242">
        <f>+FER!E34</f>
        <v>144.49199999999999</v>
      </c>
      <c r="E43" s="1242">
        <f>+FER!F34</f>
        <v>143.49199999999999</v>
      </c>
      <c r="F43" s="1242">
        <f>+FER!G34</f>
        <v>143.49199999999999</v>
      </c>
      <c r="G43" s="1242">
        <f>+FER!H34</f>
        <v>143.49199999999999</v>
      </c>
      <c r="H43" s="1242">
        <f>+FER!I34</f>
        <v>106</v>
      </c>
      <c r="I43" s="1242">
        <f>+FER!J34</f>
        <v>400</v>
      </c>
      <c r="J43" s="1307">
        <f t="shared" ref="J43:O43" si="22">+I43</f>
        <v>400</v>
      </c>
      <c r="K43" s="1307">
        <f t="shared" si="22"/>
        <v>400</v>
      </c>
      <c r="L43" s="1307">
        <f t="shared" si="22"/>
        <v>400</v>
      </c>
      <c r="M43" s="1307">
        <f t="shared" si="22"/>
        <v>400</v>
      </c>
      <c r="N43" s="1307">
        <f t="shared" si="22"/>
        <v>400</v>
      </c>
      <c r="O43" s="1308">
        <f t="shared" si="22"/>
        <v>400</v>
      </c>
    </row>
    <row r="44" spans="1:15">
      <c r="A44" s="64" t="s">
        <v>1314</v>
      </c>
      <c r="B44" s="1242">
        <f>+FER!C35</f>
        <v>5989.8280000000004</v>
      </c>
      <c r="C44" s="1242">
        <f>+FER!D35</f>
        <v>4972.7250000000004</v>
      </c>
      <c r="D44" s="1242">
        <f>+FER!E35</f>
        <v>4839.6000000000004</v>
      </c>
      <c r="E44" s="1242">
        <f>+FER!F35</f>
        <v>4343.4449999999997</v>
      </c>
      <c r="F44" s="1242">
        <f>+FER!G35</f>
        <v>3838.8989999999999</v>
      </c>
      <c r="G44" s="1242">
        <f>+FER!H35</f>
        <v>3584.5630000000001</v>
      </c>
      <c r="H44" s="1242">
        <f>+FER!I35</f>
        <v>4307</v>
      </c>
      <c r="I44" s="1242">
        <f>+FER!J35</f>
        <v>3245.2919999999999</v>
      </c>
      <c r="J44" s="1307">
        <f>+Supuestos!J27</f>
        <v>2513.7392193743467</v>
      </c>
      <c r="K44" s="1307">
        <f>+Supuestos!K27</f>
        <v>2256.5435809599044</v>
      </c>
      <c r="L44" s="1307">
        <f>+Supuestos!L27</f>
        <v>2500.0078313597523</v>
      </c>
      <c r="M44" s="1307">
        <f>+Supuestos!M27</f>
        <v>3276.1280889486916</v>
      </c>
      <c r="N44" s="1307">
        <f>+Supuestos!N27</f>
        <v>4616.7986496477524</v>
      </c>
      <c r="O44" s="1308">
        <f>+Supuestos!O27</f>
        <v>6558.094913976407</v>
      </c>
    </row>
    <row r="45" spans="1:15">
      <c r="A45" s="64" t="s">
        <v>1315</v>
      </c>
      <c r="B45" s="1242">
        <f>+FER!C36</f>
        <v>0</v>
      </c>
      <c r="C45" s="1242">
        <f>+FER!D36</f>
        <v>0</v>
      </c>
      <c r="D45" s="1242">
        <f>+FER!E36</f>
        <v>0</v>
      </c>
      <c r="E45" s="1242">
        <f>+FER!F36</f>
        <v>0</v>
      </c>
      <c r="F45" s="1242">
        <f>+FER!G36</f>
        <v>0</v>
      </c>
      <c r="G45" s="1242">
        <f>+FER!H36</f>
        <v>0</v>
      </c>
      <c r="H45" s="1242">
        <f>+FER!I36</f>
        <v>1244</v>
      </c>
      <c r="I45" s="1242">
        <f>+FER!J36</f>
        <v>1124.2070000000001</v>
      </c>
      <c r="J45" s="1307">
        <f t="shared" ref="J45:O45" si="23">+I45</f>
        <v>1124.2070000000001</v>
      </c>
      <c r="K45" s="1307">
        <f t="shared" si="23"/>
        <v>1124.2070000000001</v>
      </c>
      <c r="L45" s="1307">
        <f t="shared" si="23"/>
        <v>1124.2070000000001</v>
      </c>
      <c r="M45" s="1307">
        <f t="shared" si="23"/>
        <v>1124.2070000000001</v>
      </c>
      <c r="N45" s="1307">
        <f t="shared" si="23"/>
        <v>1124.2070000000001</v>
      </c>
      <c r="O45" s="1308">
        <f t="shared" si="23"/>
        <v>1124.2070000000001</v>
      </c>
    </row>
    <row r="46" spans="1:15">
      <c r="A46" s="64" t="s">
        <v>1316</v>
      </c>
      <c r="B46" s="1242">
        <f>+FER!C37</f>
        <v>2908.1219999999998</v>
      </c>
      <c r="C46" s="1242">
        <f>+FER!D37</f>
        <v>1709.479</v>
      </c>
      <c r="D46" s="1242">
        <f>+FER!E37</f>
        <v>613.66</v>
      </c>
      <c r="E46" s="1242">
        <f>+FER!F37</f>
        <v>337.80900000000003</v>
      </c>
      <c r="F46" s="1242">
        <f>+FER!G37</f>
        <v>319.20600000000002</v>
      </c>
      <c r="G46" s="1242">
        <f>+FER!H37</f>
        <v>296.31700000000001</v>
      </c>
      <c r="H46" s="1242">
        <f>+FER!I37</f>
        <v>784</v>
      </c>
      <c r="I46" s="1242">
        <f>+FER!J37</f>
        <v>790.61599999999999</v>
      </c>
      <c r="J46" s="1307">
        <f>+Supuestos!J36</f>
        <v>1032.2145148191319</v>
      </c>
      <c r="K46" s="1307">
        <f>+Supuestos!K36</f>
        <v>958.44934571348813</v>
      </c>
      <c r="L46" s="1307">
        <f>+Supuestos!L36</f>
        <v>899.89071024648354</v>
      </c>
      <c r="M46" s="1307">
        <f>+Supuestos!M36</f>
        <v>854.23789455222663</v>
      </c>
      <c r="N46" s="1307">
        <f>+Supuestos!N36</f>
        <v>819.75593645340018</v>
      </c>
      <c r="O46" s="1308">
        <f>+Supuestos!O36</f>
        <v>795.16325835979819</v>
      </c>
    </row>
    <row r="47" spans="1:15">
      <c r="A47" s="64" t="s">
        <v>1317</v>
      </c>
      <c r="B47" s="1242">
        <f>+FER!C38</f>
        <v>1158.68</v>
      </c>
      <c r="C47" s="1242">
        <f>+FER!D38</f>
        <v>1479.6279999999999</v>
      </c>
      <c r="D47" s="1242">
        <f>+FER!E38</f>
        <v>50494.01</v>
      </c>
      <c r="E47" s="1242">
        <f>+FER!F38</f>
        <v>50725.718999999997</v>
      </c>
      <c r="F47" s="1242">
        <f>+FER!G38</f>
        <v>55551.152999999998</v>
      </c>
      <c r="G47" s="1242">
        <f>+FER!H38</f>
        <v>2450.433</v>
      </c>
      <c r="H47" s="1242">
        <f>+FER!I38</f>
        <v>2493</v>
      </c>
      <c r="I47" s="1242">
        <f>+FER!J38</f>
        <v>2458.8049999999998</v>
      </c>
      <c r="J47" s="1307">
        <f t="shared" ref="J47:O48" si="24">+I47</f>
        <v>2458.8049999999998</v>
      </c>
      <c r="K47" s="1307">
        <f t="shared" si="24"/>
        <v>2458.8049999999998</v>
      </c>
      <c r="L47" s="1307">
        <f t="shared" si="24"/>
        <v>2458.8049999999998</v>
      </c>
      <c r="M47" s="1307">
        <f t="shared" si="24"/>
        <v>2458.8049999999998</v>
      </c>
      <c r="N47" s="1307">
        <f t="shared" si="24"/>
        <v>2458.8049999999998</v>
      </c>
      <c r="O47" s="1308">
        <f t="shared" si="24"/>
        <v>2458.8049999999998</v>
      </c>
    </row>
    <row r="48" spans="1:15">
      <c r="A48" s="64" t="s">
        <v>1318</v>
      </c>
      <c r="B48" s="1242">
        <f>+FER!C39</f>
        <v>97.518000000000001</v>
      </c>
      <c r="C48" s="1242">
        <f>+FER!D39</f>
        <v>30.131</v>
      </c>
      <c r="D48" s="1242">
        <f>+FER!E39</f>
        <v>50.75</v>
      </c>
      <c r="E48" s="1242">
        <f>+FER!F39</f>
        <v>0</v>
      </c>
      <c r="F48" s="1242">
        <f>+FER!G39</f>
        <v>0</v>
      </c>
      <c r="G48" s="1242">
        <f>+FER!H39</f>
        <v>0</v>
      </c>
      <c r="H48" s="1242">
        <f>+FER!I39</f>
        <v>0</v>
      </c>
      <c r="I48" s="1242">
        <f>+FER!J39</f>
        <v>0</v>
      </c>
      <c r="J48" s="1307">
        <f t="shared" si="24"/>
        <v>0</v>
      </c>
      <c r="K48" s="1307">
        <f t="shared" si="24"/>
        <v>0</v>
      </c>
      <c r="L48" s="1307">
        <f t="shared" si="24"/>
        <v>0</v>
      </c>
      <c r="M48" s="1307">
        <f t="shared" si="24"/>
        <v>0</v>
      </c>
      <c r="N48" s="1307">
        <f t="shared" si="24"/>
        <v>0</v>
      </c>
      <c r="O48" s="1308">
        <f t="shared" si="24"/>
        <v>0</v>
      </c>
    </row>
    <row r="49" spans="1:15">
      <c r="A49" s="1252" t="s">
        <v>1319</v>
      </c>
      <c r="B49" s="1255">
        <f>SUM(B43:B48)</f>
        <v>10401.608</v>
      </c>
      <c r="C49" s="1255">
        <f t="shared" ref="C49:I49" si="25">SUM(C43:C48)</f>
        <v>8336.4549999999999</v>
      </c>
      <c r="D49" s="1255">
        <f t="shared" si="25"/>
        <v>56142.512000000002</v>
      </c>
      <c r="E49" s="1255">
        <f t="shared" si="25"/>
        <v>55550.464999999997</v>
      </c>
      <c r="F49" s="1255">
        <f t="shared" si="25"/>
        <v>59852.75</v>
      </c>
      <c r="G49" s="1255">
        <f t="shared" si="25"/>
        <v>6474.8050000000003</v>
      </c>
      <c r="H49" s="1255">
        <f t="shared" si="25"/>
        <v>8934</v>
      </c>
      <c r="I49" s="1255">
        <f t="shared" si="25"/>
        <v>8018.92</v>
      </c>
      <c r="J49" s="1313">
        <f t="shared" ref="J49:O49" si="26">SUM(J43:J48)</f>
        <v>7528.9657341934781</v>
      </c>
      <c r="K49" s="1313">
        <f t="shared" si="26"/>
        <v>7198.0049266733931</v>
      </c>
      <c r="L49" s="1313">
        <f t="shared" si="26"/>
        <v>7382.9105416062357</v>
      </c>
      <c r="M49" s="1313">
        <f t="shared" si="26"/>
        <v>8113.3779835009191</v>
      </c>
      <c r="N49" s="1313">
        <f t="shared" si="26"/>
        <v>9419.566586101153</v>
      </c>
      <c r="O49" s="1314">
        <f t="shared" si="26"/>
        <v>11336.270172336206</v>
      </c>
    </row>
    <row r="50" spans="1:15" ht="15.75" thickBot="1">
      <c r="A50" s="1253" t="s">
        <v>1320</v>
      </c>
      <c r="B50" s="1246">
        <f>+B49+B41</f>
        <v>75284.537000000011</v>
      </c>
      <c r="C50" s="1246">
        <f t="shared" ref="C50:I50" si="27">+C49+C41</f>
        <v>95549.676999999996</v>
      </c>
      <c r="D50" s="1246">
        <f t="shared" si="27"/>
        <v>97148.837</v>
      </c>
      <c r="E50" s="1246">
        <f t="shared" si="27"/>
        <v>101825.611</v>
      </c>
      <c r="F50" s="1246">
        <f t="shared" si="27"/>
        <v>106430.655</v>
      </c>
      <c r="G50" s="1246">
        <f t="shared" si="27"/>
        <v>56421.719000000005</v>
      </c>
      <c r="H50" s="1246">
        <f t="shared" si="27"/>
        <v>74629</v>
      </c>
      <c r="I50" s="1246">
        <f t="shared" si="27"/>
        <v>97187.28899999999</v>
      </c>
      <c r="J50" s="1315">
        <f t="shared" ref="J50:O50" ca="1" si="28">+J49+J41</f>
        <v>104028.83286935868</v>
      </c>
      <c r="K50" s="1315">
        <f t="shared" ca="1" si="28"/>
        <v>107151.46446832367</v>
      </c>
      <c r="L50" s="1315">
        <f t="shared" ca="1" si="28"/>
        <v>109995.52543213715</v>
      </c>
      <c r="M50" s="1315">
        <f t="shared" ca="1" si="28"/>
        <v>114696.88971590795</v>
      </c>
      <c r="N50" s="1315">
        <f t="shared" ca="1" si="28"/>
        <v>120029.18084453013</v>
      </c>
      <c r="O50" s="1316">
        <f t="shared" ca="1" si="28"/>
        <v>126302.17213694184</v>
      </c>
    </row>
    <row r="51" spans="1:15" ht="15.75" thickTop="1">
      <c r="A51" s="1213" t="s">
        <v>1321</v>
      </c>
      <c r="J51" s="1311"/>
      <c r="K51" s="1311"/>
      <c r="L51" s="1311"/>
      <c r="M51" s="1311"/>
      <c r="N51" s="1311"/>
      <c r="O51" s="1312"/>
    </row>
    <row r="52" spans="1:15">
      <c r="A52" s="1213" t="s">
        <v>1109</v>
      </c>
      <c r="J52" s="1311"/>
      <c r="K52" s="1311"/>
      <c r="L52" s="1311"/>
      <c r="M52" s="1311"/>
      <c r="N52" s="1311"/>
      <c r="O52" s="1312"/>
    </row>
    <row r="53" spans="1:15">
      <c r="A53" s="1214" t="s">
        <v>1322</v>
      </c>
      <c r="B53" s="1242">
        <f>+FER!C42</f>
        <v>0</v>
      </c>
      <c r="C53" s="1242">
        <f>+FER!D42</f>
        <v>0</v>
      </c>
      <c r="D53" s="1242">
        <f>+FER!E42</f>
        <v>0</v>
      </c>
      <c r="E53" s="1242">
        <f>+FER!F42</f>
        <v>0</v>
      </c>
      <c r="F53" s="1242">
        <f>+FER!G42</f>
        <v>0</v>
      </c>
      <c r="G53" s="1242">
        <f>+FER!H42</f>
        <v>0</v>
      </c>
      <c r="H53" s="1242">
        <f>+FER!I42</f>
        <v>0</v>
      </c>
      <c r="I53" s="1242">
        <f>+FER!J42</f>
        <v>0</v>
      </c>
      <c r="J53" s="1307">
        <f t="shared" ref="J53:O53" si="29">+I53</f>
        <v>0</v>
      </c>
      <c r="K53" s="1307">
        <f t="shared" si="29"/>
        <v>0</v>
      </c>
      <c r="L53" s="1307">
        <f t="shared" si="29"/>
        <v>0</v>
      </c>
      <c r="M53" s="1307">
        <f t="shared" si="29"/>
        <v>0</v>
      </c>
      <c r="N53" s="1307">
        <f t="shared" si="29"/>
        <v>0</v>
      </c>
      <c r="O53" s="1308">
        <f t="shared" si="29"/>
        <v>0</v>
      </c>
    </row>
    <row r="54" spans="1:15">
      <c r="A54" s="1214" t="s">
        <v>343</v>
      </c>
      <c r="B54" s="1242">
        <f>+FER!C43</f>
        <v>1925.1479999999999</v>
      </c>
      <c r="C54" s="1242">
        <f>+FER!D43</f>
        <v>1173.1849999999999</v>
      </c>
      <c r="D54" s="1242">
        <f>+FER!E43</f>
        <v>1164.989</v>
      </c>
      <c r="E54" s="1242">
        <f>+FER!F43</f>
        <v>1120.731</v>
      </c>
      <c r="F54" s="1242">
        <f>+FER!G43</f>
        <v>1028.635</v>
      </c>
      <c r="G54" s="1242">
        <f>+FER!H43</f>
        <v>1871.0920000000001</v>
      </c>
      <c r="H54" s="1242">
        <f>+FER!I43</f>
        <v>3811</v>
      </c>
      <c r="I54" s="1242">
        <f>+FER!J43</f>
        <v>3100.7890000000002</v>
      </c>
      <c r="J54" s="1307">
        <f>+(Supuestos!J11*'Estados Financieros (P)'!J9)/365</f>
        <v>3291.7050344328945</v>
      </c>
      <c r="K54" s="1307">
        <f>+(Supuestos!K11*'Estados Financieros (P)'!K9)/365</f>
        <v>3325.4135127114296</v>
      </c>
      <c r="L54" s="1307">
        <f>+(Supuestos!L11*'Estados Financieros (P)'!L9)/365</f>
        <v>3296.5940714136927</v>
      </c>
      <c r="M54" s="1307">
        <f>+(Supuestos!M11*'Estados Financieros (P)'!M9)/365</f>
        <v>3313.004932995344</v>
      </c>
      <c r="N54" s="1307">
        <f>+(Supuestos!N11*'Estados Financieros (P)'!N9)/365</f>
        <v>3311.5380636478558</v>
      </c>
      <c r="O54" s="1308">
        <f>+(Supuestos!O11*'Estados Financieros (P)'!O9)/365</f>
        <v>3299.7505144042398</v>
      </c>
    </row>
    <row r="55" spans="1:15">
      <c r="A55" s="1214" t="s">
        <v>1323</v>
      </c>
      <c r="B55" s="1242">
        <f>+FER!C44</f>
        <v>3203.2130000000002</v>
      </c>
      <c r="C55" s="1242">
        <f>+FER!D44</f>
        <v>4028.9479999999999</v>
      </c>
      <c r="D55" s="1242">
        <f>+FER!E44</f>
        <v>4756.0510000000004</v>
      </c>
      <c r="E55" s="1242">
        <f>+FER!F44</f>
        <v>19011.383000000002</v>
      </c>
      <c r="F55" s="1242">
        <f>+FER!G44</f>
        <v>18790.452000000001</v>
      </c>
      <c r="G55" s="1242">
        <f>+FER!H44</f>
        <v>6157.18</v>
      </c>
      <c r="H55" s="1242">
        <f>+FER!I44</f>
        <v>23456</v>
      </c>
      <c r="I55" s="1242">
        <f>+FER!J44</f>
        <v>46494.622000000003</v>
      </c>
      <c r="J55" s="1307">
        <f t="shared" ref="J55:O55" si="30">+I55*(J9/I9)</f>
        <v>51932.324270913916</v>
      </c>
      <c r="K55" s="1307">
        <f t="shared" si="30"/>
        <v>55351.899535783989</v>
      </c>
      <c r="L55" s="1307">
        <f t="shared" si="30"/>
        <v>58068.438302074937</v>
      </c>
      <c r="M55" s="1307">
        <f t="shared" si="30"/>
        <v>61967.017147041719</v>
      </c>
      <c r="N55" s="1307">
        <f t="shared" si="30"/>
        <v>66023.224256670685</v>
      </c>
      <c r="O55" s="1308">
        <f t="shared" si="30"/>
        <v>70431.739209489358</v>
      </c>
    </row>
    <row r="56" spans="1:15">
      <c r="A56" s="1214" t="s">
        <v>1324</v>
      </c>
      <c r="B56" s="1242">
        <f>+FER!C45</f>
        <v>2734.1559999999999</v>
      </c>
      <c r="C56" s="1242">
        <f>+FER!D45</f>
        <v>6733.8</v>
      </c>
      <c r="D56" s="1242">
        <f>+FER!E45</f>
        <v>3592.4949999999999</v>
      </c>
      <c r="E56" s="1242">
        <f>+FER!F45</f>
        <v>3579.42</v>
      </c>
      <c r="F56" s="1242">
        <f>+FER!G45</f>
        <v>3865.991</v>
      </c>
      <c r="G56" s="1242">
        <f>+FER!H45</f>
        <v>4070.431</v>
      </c>
      <c r="H56" s="1242">
        <f>+FER!I45</f>
        <v>4336</v>
      </c>
      <c r="I56" s="1242">
        <f>+FER!J45</f>
        <v>5001.5959999999995</v>
      </c>
      <c r="J56" s="1317">
        <f>+Supuestos!J13*'Estados Financieros (P)'!J28</f>
        <v>1842.5838642217022</v>
      </c>
      <c r="K56" s="1307">
        <f>+Supuestos!K13*'Estados Financieros (P)'!K28</f>
        <v>1588.61312336745</v>
      </c>
      <c r="L56" s="1307">
        <f>+Supuestos!L13*'Estados Financieros (P)'!L28</f>
        <v>1483.9016319725213</v>
      </c>
      <c r="M56" s="1307">
        <f>+Supuestos!M13*'Estados Financieros (P)'!M28</f>
        <v>1490.1350478524241</v>
      </c>
      <c r="N56" s="1307">
        <f>+Supuestos!N13*'Estados Financieros (P)'!N28</f>
        <v>1599.5777412285433</v>
      </c>
      <c r="O56" s="1308">
        <f>+Supuestos!O13*'Estados Financieros (P)'!O28</f>
        <v>1828.9154372621174</v>
      </c>
    </row>
    <row r="57" spans="1:15">
      <c r="A57" s="1214" t="s">
        <v>1325</v>
      </c>
      <c r="B57" s="1242">
        <f>+FER!C46</f>
        <v>2162.9569999999999</v>
      </c>
      <c r="C57" s="1242">
        <f>+FER!D46</f>
        <v>2466.0500000000002</v>
      </c>
      <c r="D57" s="1242">
        <f>+FER!E46</f>
        <v>2866.3739999999998</v>
      </c>
      <c r="E57" s="1242">
        <f>+FER!F46</f>
        <v>3009.8159999999998</v>
      </c>
      <c r="F57" s="1242">
        <f>+FER!G46</f>
        <v>3144.3380000000002</v>
      </c>
      <c r="G57" s="1242">
        <f>+FER!H46</f>
        <v>3301.1880000000001</v>
      </c>
      <c r="H57" s="1242">
        <f>+FER!I46</f>
        <v>3760</v>
      </c>
      <c r="I57" s="1242">
        <f>+FER!J46</f>
        <v>4072.259</v>
      </c>
      <c r="J57" s="1307">
        <f t="shared" ref="J57:O57" si="31">+I57*(J7/I7)</f>
        <v>4554.2162766010169</v>
      </c>
      <c r="K57" s="1307">
        <f t="shared" si="31"/>
        <v>4860.1796305686503</v>
      </c>
      <c r="L57" s="1307">
        <f t="shared" si="31"/>
        <v>5105.1031379720007</v>
      </c>
      <c r="M57" s="1307">
        <f t="shared" si="31"/>
        <v>5454.6919876078155</v>
      </c>
      <c r="N57" s="1307">
        <f t="shared" si="31"/>
        <v>5819.053123614307</v>
      </c>
      <c r="O57" s="1308">
        <f t="shared" si="31"/>
        <v>6215.4223410047207</v>
      </c>
    </row>
    <row r="58" spans="1:15">
      <c r="A58" s="1214" t="s">
        <v>1326</v>
      </c>
      <c r="B58" s="1242">
        <f>+FER!C47</f>
        <v>4682.5680000000002</v>
      </c>
      <c r="C58" s="1242">
        <f>+FER!D47</f>
        <v>5600.3770000000004</v>
      </c>
      <c r="D58" s="1242">
        <f>+FER!E47</f>
        <v>6581.3789999999999</v>
      </c>
      <c r="E58" s="1242">
        <f>+FER!F47</f>
        <v>6445.9440000000004</v>
      </c>
      <c r="F58" s="1242">
        <f>+FER!G47</f>
        <v>7701.1189999999997</v>
      </c>
      <c r="G58" s="1242">
        <f>+FER!H47</f>
        <v>7019.6139999999996</v>
      </c>
      <c r="H58" s="1242">
        <f>+FER!I47</f>
        <v>7994</v>
      </c>
      <c r="I58" s="1242">
        <f>+FER!J47</f>
        <v>6345.9559999999992</v>
      </c>
      <c r="J58" s="1307">
        <f t="shared" ref="J58:O60" si="32">+I58</f>
        <v>6345.9559999999992</v>
      </c>
      <c r="K58" s="1307">
        <f t="shared" si="32"/>
        <v>6345.9559999999992</v>
      </c>
      <c r="L58" s="1307">
        <f t="shared" si="32"/>
        <v>6345.9559999999992</v>
      </c>
      <c r="M58" s="1307">
        <f t="shared" si="32"/>
        <v>6345.9559999999992</v>
      </c>
      <c r="N58" s="1307">
        <f t="shared" si="32"/>
        <v>6345.9559999999992</v>
      </c>
      <c r="O58" s="1308">
        <f t="shared" si="32"/>
        <v>6345.9559999999992</v>
      </c>
    </row>
    <row r="59" spans="1:15">
      <c r="A59" s="1214" t="s">
        <v>1327</v>
      </c>
      <c r="B59" s="1242">
        <f>+FER!C48</f>
        <v>2877.62</v>
      </c>
      <c r="C59" s="1242">
        <f>+FER!D48</f>
        <v>1977.67</v>
      </c>
      <c r="D59" s="1242">
        <f>+FER!E48</f>
        <v>2385.5329999999999</v>
      </c>
      <c r="E59" s="1242">
        <f>+FER!F48</f>
        <v>3556.047</v>
      </c>
      <c r="F59" s="1242">
        <f>+FER!G48</f>
        <v>2015.712</v>
      </c>
      <c r="G59" s="1242">
        <f>+FER!H48</f>
        <v>1469.944</v>
      </c>
      <c r="H59" s="1242">
        <f>+FER!I48</f>
        <v>929</v>
      </c>
      <c r="I59" s="1242">
        <f>+FER!J48</f>
        <v>938.81399999999996</v>
      </c>
      <c r="J59" s="1307">
        <f t="shared" si="32"/>
        <v>938.81399999999996</v>
      </c>
      <c r="K59" s="1307">
        <f t="shared" si="32"/>
        <v>938.81399999999996</v>
      </c>
      <c r="L59" s="1307">
        <f t="shared" si="32"/>
        <v>938.81399999999996</v>
      </c>
      <c r="M59" s="1307">
        <f t="shared" si="32"/>
        <v>938.81399999999996</v>
      </c>
      <c r="N59" s="1307">
        <f t="shared" si="32"/>
        <v>938.81399999999996</v>
      </c>
      <c r="O59" s="1308">
        <f t="shared" si="32"/>
        <v>938.81399999999996</v>
      </c>
    </row>
    <row r="60" spans="1:15">
      <c r="A60" s="1214" t="s">
        <v>1328</v>
      </c>
      <c r="B60" s="1242">
        <f>+FER!C49</f>
        <v>0</v>
      </c>
      <c r="C60" s="1242">
        <f>+FER!D49</f>
        <v>0</v>
      </c>
      <c r="D60" s="1242">
        <f>+FER!E49</f>
        <v>0</v>
      </c>
      <c r="E60" s="1242">
        <f>+FER!F49</f>
        <v>0</v>
      </c>
      <c r="F60" s="1242">
        <f>+FER!G49</f>
        <v>0</v>
      </c>
      <c r="G60" s="1242">
        <f>+FER!H49</f>
        <v>0</v>
      </c>
      <c r="H60" s="1242">
        <f>+FER!I49</f>
        <v>0</v>
      </c>
      <c r="I60" s="1242">
        <f>+FER!J49</f>
        <v>0</v>
      </c>
      <c r="J60" s="1307">
        <f t="shared" si="32"/>
        <v>0</v>
      </c>
      <c r="K60" s="1307">
        <f t="shared" si="32"/>
        <v>0</v>
      </c>
      <c r="L60" s="1307">
        <f t="shared" si="32"/>
        <v>0</v>
      </c>
      <c r="M60" s="1307">
        <f t="shared" si="32"/>
        <v>0</v>
      </c>
      <c r="N60" s="1307">
        <f t="shared" si="32"/>
        <v>0</v>
      </c>
      <c r="O60" s="1308">
        <f t="shared" si="32"/>
        <v>0</v>
      </c>
    </row>
    <row r="61" spans="1:15">
      <c r="A61" s="1252" t="s">
        <v>1329</v>
      </c>
      <c r="B61" s="1247">
        <f>SUM(B53:B60)</f>
        <v>17585.662</v>
      </c>
      <c r="C61" s="1247">
        <f t="shared" ref="C61:I61" si="33">SUM(C53:C60)</f>
        <v>21980.03</v>
      </c>
      <c r="D61" s="1247">
        <f t="shared" si="33"/>
        <v>21346.821</v>
      </c>
      <c r="E61" s="1247">
        <f t="shared" si="33"/>
        <v>36723.341</v>
      </c>
      <c r="F61" s="1247">
        <f t="shared" si="33"/>
        <v>36546.247000000003</v>
      </c>
      <c r="G61" s="1247">
        <f t="shared" si="33"/>
        <v>23889.449000000001</v>
      </c>
      <c r="H61" s="1247">
        <f t="shared" si="33"/>
        <v>44286</v>
      </c>
      <c r="I61" s="1247">
        <f t="shared" si="33"/>
        <v>65954.035999999993</v>
      </c>
      <c r="J61" s="1318">
        <f t="shared" ref="J61:O61" si="34">SUM(J53:J60)</f>
        <v>68905.599446169537</v>
      </c>
      <c r="K61" s="1318">
        <f t="shared" si="34"/>
        <v>72410.875802431518</v>
      </c>
      <c r="L61" s="1318">
        <f t="shared" si="34"/>
        <v>75238.80714343315</v>
      </c>
      <c r="M61" s="1318">
        <f t="shared" si="34"/>
        <v>79509.619115497306</v>
      </c>
      <c r="N61" s="1318">
        <f t="shared" si="34"/>
        <v>84038.163185161378</v>
      </c>
      <c r="O61" s="1319">
        <f t="shared" si="34"/>
        <v>89060.597502160439</v>
      </c>
    </row>
    <row r="62" spans="1:15">
      <c r="A62" s="1213" t="s">
        <v>1330</v>
      </c>
      <c r="J62" s="1311"/>
      <c r="K62" s="1311"/>
      <c r="L62" s="1311"/>
      <c r="M62" s="1311"/>
      <c r="N62" s="1311"/>
      <c r="O62" s="1312"/>
    </row>
    <row r="63" spans="1:15" hidden="1">
      <c r="A63" s="1214" t="s">
        <v>334</v>
      </c>
      <c r="B63" s="1242">
        <f>+FER!C51</f>
        <v>0</v>
      </c>
      <c r="C63" s="1242">
        <f>+FER!D51</f>
        <v>0</v>
      </c>
      <c r="D63" s="1242">
        <f>+FER!E51</f>
        <v>0</v>
      </c>
      <c r="E63" s="1242">
        <f>+FER!F51</f>
        <v>0</v>
      </c>
      <c r="F63" s="1242">
        <f>+FER!G51</f>
        <v>0</v>
      </c>
      <c r="G63" s="1242">
        <f>+FER!H51</f>
        <v>0</v>
      </c>
      <c r="H63" s="1242">
        <f>+FER!I51</f>
        <v>0</v>
      </c>
      <c r="I63" s="1242">
        <f>+FER!J51</f>
        <v>0</v>
      </c>
      <c r="J63" s="1307">
        <f t="shared" ref="J63:O63" si="35">+I63</f>
        <v>0</v>
      </c>
      <c r="K63" s="1307">
        <f t="shared" si="35"/>
        <v>0</v>
      </c>
      <c r="L63" s="1307">
        <f t="shared" si="35"/>
        <v>0</v>
      </c>
      <c r="M63" s="1307">
        <f t="shared" si="35"/>
        <v>0</v>
      </c>
      <c r="N63" s="1307">
        <f t="shared" si="35"/>
        <v>0</v>
      </c>
      <c r="O63" s="1308">
        <f t="shared" si="35"/>
        <v>0</v>
      </c>
    </row>
    <row r="64" spans="1:15" hidden="1">
      <c r="A64" s="1214" t="s">
        <v>1331</v>
      </c>
      <c r="B64" s="1242">
        <f>+FER!C52</f>
        <v>0</v>
      </c>
      <c r="C64" s="1242">
        <f>+FER!D52</f>
        <v>0</v>
      </c>
      <c r="D64" s="1242">
        <f>+FER!E52</f>
        <v>0</v>
      </c>
      <c r="E64" s="1242">
        <f>+FER!F52</f>
        <v>0</v>
      </c>
      <c r="F64" s="1242">
        <f>+FER!G52</f>
        <v>0</v>
      </c>
      <c r="G64" s="1242">
        <f>+FER!H52</f>
        <v>0</v>
      </c>
      <c r="H64" s="1242">
        <f>+FER!I52</f>
        <v>0</v>
      </c>
      <c r="I64" s="1242">
        <f>+FER!J52</f>
        <v>0</v>
      </c>
      <c r="J64" s="1307">
        <f t="shared" ref="J64:O68" si="36">+I64</f>
        <v>0</v>
      </c>
      <c r="K64" s="1307">
        <f t="shared" si="36"/>
        <v>0</v>
      </c>
      <c r="L64" s="1307">
        <f t="shared" si="36"/>
        <v>0</v>
      </c>
      <c r="M64" s="1307">
        <f t="shared" si="36"/>
        <v>0</v>
      </c>
      <c r="N64" s="1307">
        <f t="shared" si="36"/>
        <v>0</v>
      </c>
      <c r="O64" s="1308">
        <f t="shared" si="36"/>
        <v>0</v>
      </c>
    </row>
    <row r="65" spans="1:15" hidden="1">
      <c r="A65" s="1214" t="s">
        <v>1332</v>
      </c>
      <c r="B65" s="1242">
        <f>+FER!C53</f>
        <v>0</v>
      </c>
      <c r="C65" s="1242">
        <f>+FER!D53</f>
        <v>0</v>
      </c>
      <c r="D65" s="1242">
        <f>+FER!E53</f>
        <v>0</v>
      </c>
      <c r="E65" s="1242">
        <f>+FER!F53</f>
        <v>0</v>
      </c>
      <c r="F65" s="1242">
        <f>+FER!G53</f>
        <v>0</v>
      </c>
      <c r="G65" s="1242">
        <f>+FER!H53</f>
        <v>0</v>
      </c>
      <c r="H65" s="1242">
        <f>+FER!I53</f>
        <v>283</v>
      </c>
      <c r="I65" s="1242">
        <f>+FER!J53</f>
        <v>0</v>
      </c>
      <c r="J65" s="1307">
        <f t="shared" si="36"/>
        <v>0</v>
      </c>
      <c r="K65" s="1307">
        <f t="shared" si="36"/>
        <v>0</v>
      </c>
      <c r="L65" s="1307">
        <f t="shared" si="36"/>
        <v>0</v>
      </c>
      <c r="M65" s="1307">
        <f t="shared" si="36"/>
        <v>0</v>
      </c>
      <c r="N65" s="1307">
        <f t="shared" si="36"/>
        <v>0</v>
      </c>
      <c r="O65" s="1308">
        <f t="shared" si="36"/>
        <v>0</v>
      </c>
    </row>
    <row r="66" spans="1:15" hidden="1">
      <c r="A66" s="1214" t="s">
        <v>1333</v>
      </c>
      <c r="B66" s="1242">
        <f>+FER!C54</f>
        <v>0</v>
      </c>
      <c r="C66" s="1242">
        <f>+FER!D54</f>
        <v>0</v>
      </c>
      <c r="D66" s="1242">
        <f>+FER!E54</f>
        <v>0</v>
      </c>
      <c r="E66" s="1242">
        <f>+FER!F54</f>
        <v>0</v>
      </c>
      <c r="F66" s="1242">
        <f>+FER!G54</f>
        <v>0</v>
      </c>
      <c r="G66" s="1242">
        <f>+FER!H54</f>
        <v>1276.5730000000001</v>
      </c>
      <c r="H66" s="1242">
        <f>+FER!I54</f>
        <v>0</v>
      </c>
      <c r="I66" s="1242">
        <f>+FER!J54</f>
        <v>0</v>
      </c>
      <c r="J66" s="1307">
        <f t="shared" si="36"/>
        <v>0</v>
      </c>
      <c r="K66" s="1307">
        <f t="shared" si="36"/>
        <v>0</v>
      </c>
      <c r="L66" s="1307">
        <f t="shared" si="36"/>
        <v>0</v>
      </c>
      <c r="M66" s="1307">
        <f t="shared" si="36"/>
        <v>0</v>
      </c>
      <c r="N66" s="1307">
        <f t="shared" si="36"/>
        <v>0</v>
      </c>
      <c r="O66" s="1308">
        <f t="shared" si="36"/>
        <v>0</v>
      </c>
    </row>
    <row r="67" spans="1:15" hidden="1">
      <c r="A67" s="1214" t="s">
        <v>1334</v>
      </c>
      <c r="B67" s="1242">
        <f>+FER!C55</f>
        <v>0</v>
      </c>
      <c r="C67" s="1242">
        <f>+FER!D55</f>
        <v>0</v>
      </c>
      <c r="D67" s="1242">
        <f>+FER!E55</f>
        <v>0</v>
      </c>
      <c r="E67" s="1242">
        <f>+FER!F55</f>
        <v>0</v>
      </c>
      <c r="F67" s="1242">
        <f>+FER!G55</f>
        <v>0</v>
      </c>
      <c r="G67" s="1242">
        <f>+FER!H55</f>
        <v>0</v>
      </c>
      <c r="H67" s="1242">
        <f>+FER!I55</f>
        <v>0</v>
      </c>
      <c r="I67" s="1242">
        <f>+FER!J55</f>
        <v>0</v>
      </c>
      <c r="J67" s="1307">
        <f t="shared" si="36"/>
        <v>0</v>
      </c>
      <c r="K67" s="1307">
        <f t="shared" si="36"/>
        <v>0</v>
      </c>
      <c r="L67" s="1307">
        <f t="shared" si="36"/>
        <v>0</v>
      </c>
      <c r="M67" s="1307">
        <f t="shared" si="36"/>
        <v>0</v>
      </c>
      <c r="N67" s="1307">
        <f t="shared" si="36"/>
        <v>0</v>
      </c>
      <c r="O67" s="1308">
        <f t="shared" si="36"/>
        <v>0</v>
      </c>
    </row>
    <row r="68" spans="1:15" hidden="1">
      <c r="A68" s="1214" t="s">
        <v>1335</v>
      </c>
      <c r="B68" s="1242">
        <f>+FER!C56</f>
        <v>0</v>
      </c>
      <c r="C68" s="1242">
        <f>+FER!D56</f>
        <v>0</v>
      </c>
      <c r="D68" s="1242">
        <f>+FER!E56</f>
        <v>0</v>
      </c>
      <c r="E68" s="1242">
        <f>+FER!F56</f>
        <v>0</v>
      </c>
      <c r="F68" s="1242">
        <f>+FER!G56</f>
        <v>0</v>
      </c>
      <c r="G68" s="1242">
        <f>+FER!H56</f>
        <v>0</v>
      </c>
      <c r="H68" s="1242">
        <f>+FER!I56</f>
        <v>0</v>
      </c>
      <c r="I68" s="1242">
        <f>+FER!J56</f>
        <v>0</v>
      </c>
      <c r="J68" s="1307">
        <f t="shared" si="36"/>
        <v>0</v>
      </c>
      <c r="K68" s="1307">
        <f t="shared" si="36"/>
        <v>0</v>
      </c>
      <c r="L68" s="1307">
        <f t="shared" si="36"/>
        <v>0</v>
      </c>
      <c r="M68" s="1307">
        <f t="shared" si="36"/>
        <v>0</v>
      </c>
      <c r="N68" s="1307">
        <f t="shared" si="36"/>
        <v>0</v>
      </c>
      <c r="O68" s="1308">
        <f t="shared" si="36"/>
        <v>0</v>
      </c>
    </row>
    <row r="69" spans="1:15">
      <c r="A69" s="1252" t="s">
        <v>1336</v>
      </c>
      <c r="B69" s="1256">
        <f>SUM(B63:B68)</f>
        <v>0</v>
      </c>
      <c r="C69" s="1256">
        <f t="shared" ref="C69:I69" si="37">SUM(C63:C68)</f>
        <v>0</v>
      </c>
      <c r="D69" s="1255">
        <f t="shared" si="37"/>
        <v>0</v>
      </c>
      <c r="E69" s="1255">
        <f t="shared" si="37"/>
        <v>0</v>
      </c>
      <c r="F69" s="1255">
        <f t="shared" si="37"/>
        <v>0</v>
      </c>
      <c r="G69" s="1255">
        <f t="shared" si="37"/>
        <v>1276.5730000000001</v>
      </c>
      <c r="H69" s="1255">
        <f t="shared" si="37"/>
        <v>283</v>
      </c>
      <c r="I69" s="1255">
        <f t="shared" si="37"/>
        <v>0</v>
      </c>
      <c r="J69" s="1313">
        <f t="shared" ref="J69:O69" si="38">SUM(J63:J68)</f>
        <v>0</v>
      </c>
      <c r="K69" s="1313">
        <f t="shared" si="38"/>
        <v>0</v>
      </c>
      <c r="L69" s="1313">
        <f t="shared" si="38"/>
        <v>0</v>
      </c>
      <c r="M69" s="1313">
        <f t="shared" si="38"/>
        <v>0</v>
      </c>
      <c r="N69" s="1313">
        <f t="shared" si="38"/>
        <v>0</v>
      </c>
      <c r="O69" s="1314">
        <f t="shared" si="38"/>
        <v>0</v>
      </c>
    </row>
    <row r="70" spans="1:15" ht="15.75" thickBot="1">
      <c r="A70" s="1253" t="s">
        <v>1337</v>
      </c>
      <c r="B70" s="1246">
        <f>+B69+B61</f>
        <v>17585.662</v>
      </c>
      <c r="C70" s="1246">
        <f t="shared" ref="C70:J70" si="39">+C69+C61</f>
        <v>21980.03</v>
      </c>
      <c r="D70" s="1246">
        <f t="shared" si="39"/>
        <v>21346.821</v>
      </c>
      <c r="E70" s="1246">
        <f t="shared" si="39"/>
        <v>36723.341</v>
      </c>
      <c r="F70" s="1246">
        <f t="shared" si="39"/>
        <v>36546.247000000003</v>
      </c>
      <c r="G70" s="1246">
        <f t="shared" si="39"/>
        <v>25166.022000000001</v>
      </c>
      <c r="H70" s="1246">
        <f t="shared" si="39"/>
        <v>44569</v>
      </c>
      <c r="I70" s="1246">
        <f t="shared" si="39"/>
        <v>65954.035999999993</v>
      </c>
      <c r="J70" s="1315">
        <f t="shared" si="39"/>
        <v>68905.599446169537</v>
      </c>
      <c r="K70" s="1315">
        <f>+K69+K61</f>
        <v>72410.875802431518</v>
      </c>
      <c r="L70" s="1315">
        <f>+L69+L61</f>
        <v>75238.80714343315</v>
      </c>
      <c r="M70" s="1315">
        <f>+M69+M61</f>
        <v>79509.619115497306</v>
      </c>
      <c r="N70" s="1315">
        <f>+N69+N61</f>
        <v>84038.163185161378</v>
      </c>
      <c r="O70" s="1316">
        <f>+O69+O61</f>
        <v>89060.597502160439</v>
      </c>
    </row>
    <row r="71" spans="1:15" ht="15.75" thickTop="1">
      <c r="A71" s="1213" t="s">
        <v>324</v>
      </c>
      <c r="J71" s="1311"/>
      <c r="K71" s="1311"/>
      <c r="L71" s="1311"/>
      <c r="M71" s="1311"/>
      <c r="N71" s="1311"/>
      <c r="O71" s="1312"/>
    </row>
    <row r="72" spans="1:15">
      <c r="A72" s="1214" t="s">
        <v>1338</v>
      </c>
      <c r="B72" s="1242">
        <f>+FER!C59</f>
        <v>7699.7690000000002</v>
      </c>
      <c r="C72" s="1242">
        <f>+FER!D59</f>
        <v>7699.7690000000002</v>
      </c>
      <c r="D72" s="1242">
        <f>+FER!E59</f>
        <v>7699.7690000000002</v>
      </c>
      <c r="E72" s="1242">
        <f>+FER!F59</f>
        <v>7699.7690000000002</v>
      </c>
      <c r="F72" s="1242">
        <f>+FER!G59</f>
        <v>7699.7690000000002</v>
      </c>
      <c r="G72" s="1242">
        <f>+FER!H59</f>
        <v>7699.7690000000002</v>
      </c>
      <c r="H72" s="1242">
        <f>+FER!I59</f>
        <v>7700</v>
      </c>
      <c r="I72" s="1242">
        <f>+FER!J59</f>
        <v>7699.7690000000002</v>
      </c>
      <c r="J72" s="1307">
        <f t="shared" ref="J72:O75" si="40">+I72</f>
        <v>7699.7690000000002</v>
      </c>
      <c r="K72" s="1307">
        <f t="shared" si="40"/>
        <v>7699.7690000000002</v>
      </c>
      <c r="L72" s="1307">
        <f t="shared" si="40"/>
        <v>7699.7690000000002</v>
      </c>
      <c r="M72" s="1307">
        <f t="shared" si="40"/>
        <v>7699.7690000000002</v>
      </c>
      <c r="N72" s="1307">
        <f t="shared" si="40"/>
        <v>7699.7690000000002</v>
      </c>
      <c r="O72" s="1308">
        <f t="shared" si="40"/>
        <v>7699.7690000000002</v>
      </c>
    </row>
    <row r="73" spans="1:15">
      <c r="A73" s="1214" t="s">
        <v>1339</v>
      </c>
      <c r="B73" s="1242">
        <f>+FER!C60</f>
        <v>0</v>
      </c>
      <c r="C73" s="1242">
        <f>+FER!D60</f>
        <v>0</v>
      </c>
      <c r="D73" s="1242">
        <f>+FER!E60</f>
        <v>0</v>
      </c>
      <c r="E73" s="1242">
        <f>+FER!F60</f>
        <v>0</v>
      </c>
      <c r="F73" s="1242">
        <f>+FER!G60</f>
        <v>0</v>
      </c>
      <c r="G73" s="1242">
        <f>+FER!H60</f>
        <v>0</v>
      </c>
      <c r="H73" s="1242">
        <f>+FER!I60</f>
        <v>0</v>
      </c>
      <c r="I73" s="1242">
        <f>+FER!J60</f>
        <v>0</v>
      </c>
      <c r="J73" s="1307">
        <f t="shared" si="40"/>
        <v>0</v>
      </c>
      <c r="K73" s="1307">
        <f t="shared" si="40"/>
        <v>0</v>
      </c>
      <c r="L73" s="1307">
        <f t="shared" si="40"/>
        <v>0</v>
      </c>
      <c r="M73" s="1307">
        <f t="shared" si="40"/>
        <v>0</v>
      </c>
      <c r="N73" s="1307">
        <f t="shared" si="40"/>
        <v>0</v>
      </c>
      <c r="O73" s="1308">
        <f t="shared" si="40"/>
        <v>0</v>
      </c>
    </row>
    <row r="74" spans="1:15">
      <c r="A74" s="1214" t="s">
        <v>1340</v>
      </c>
      <c r="B74" s="1242">
        <f>+FER!C61</f>
        <v>26736.687000000002</v>
      </c>
      <c r="C74" s="1242">
        <f>+FER!D61</f>
        <v>32040.596000000001</v>
      </c>
      <c r="D74" s="1242">
        <f>+FER!E61</f>
        <v>43925.756000000001</v>
      </c>
      <c r="E74" s="1242">
        <f>+FER!F61</f>
        <v>29806.920999999998</v>
      </c>
      <c r="F74" s="1242">
        <f>+FER!G61</f>
        <v>36100.748</v>
      </c>
      <c r="G74" s="1242">
        <f>+FER!H61</f>
        <v>4209.607</v>
      </c>
      <c r="H74" s="1242">
        <f>+FER!I61</f>
        <v>4210</v>
      </c>
      <c r="I74" s="1242">
        <f>+FER!J61</f>
        <v>4209.607</v>
      </c>
      <c r="J74" s="1307">
        <f t="shared" si="40"/>
        <v>4209.607</v>
      </c>
      <c r="K74" s="1307">
        <f t="shared" si="40"/>
        <v>4209.607</v>
      </c>
      <c r="L74" s="1307">
        <f t="shared" si="40"/>
        <v>4209.607</v>
      </c>
      <c r="M74" s="1307">
        <f t="shared" si="40"/>
        <v>4209.607</v>
      </c>
      <c r="N74" s="1307">
        <f t="shared" si="40"/>
        <v>4209.607</v>
      </c>
      <c r="O74" s="1308">
        <f t="shared" si="40"/>
        <v>4209.607</v>
      </c>
    </row>
    <row r="75" spans="1:15">
      <c r="A75" s="1214" t="s">
        <v>1341</v>
      </c>
      <c r="B75" s="1242">
        <f>+FER!C62</f>
        <v>10858.612999999999</v>
      </c>
      <c r="C75" s="1242">
        <f>+FER!D62</f>
        <v>10858.612999999999</v>
      </c>
      <c r="D75" s="1242">
        <f>+FER!E62</f>
        <v>10136.722</v>
      </c>
      <c r="E75" s="1242">
        <f>+FER!F62</f>
        <v>9414.8310000000001</v>
      </c>
      <c r="F75" s="1242">
        <f>+FER!G62</f>
        <v>8138.259</v>
      </c>
      <c r="G75" s="1242">
        <f>+FER!H62</f>
        <v>4308.5420000000004</v>
      </c>
      <c r="H75" s="1242">
        <f>+FER!I62</f>
        <v>4309</v>
      </c>
      <c r="I75" s="1242">
        <f>+FER!J62</f>
        <v>4308.5420000000004</v>
      </c>
      <c r="J75" s="1307">
        <f t="shared" si="40"/>
        <v>4308.5420000000004</v>
      </c>
      <c r="K75" s="1307">
        <f t="shared" si="40"/>
        <v>4308.5420000000004</v>
      </c>
      <c r="L75" s="1307">
        <f t="shared" si="40"/>
        <v>4308.5420000000004</v>
      </c>
      <c r="M75" s="1307">
        <f t="shared" si="40"/>
        <v>4308.5420000000004</v>
      </c>
      <c r="N75" s="1307">
        <f t="shared" si="40"/>
        <v>4308.5420000000004</v>
      </c>
      <c r="O75" s="1308">
        <f t="shared" si="40"/>
        <v>4308.5420000000004</v>
      </c>
    </row>
    <row r="76" spans="1:15">
      <c r="A76" s="1214" t="s">
        <v>1342</v>
      </c>
      <c r="B76" s="1242">
        <f>+FER!C63</f>
        <v>12306.288</v>
      </c>
      <c r="C76" s="1242">
        <f>+FER!D63</f>
        <v>22940.538</v>
      </c>
      <c r="D76" s="1242">
        <f>+FER!E63</f>
        <v>13989.019</v>
      </c>
      <c r="E76" s="1242">
        <f>+FER!F63</f>
        <v>18180.749</v>
      </c>
      <c r="F76" s="1242">
        <f>+FER!G63</f>
        <v>17945.632000000001</v>
      </c>
      <c r="G76" s="1242">
        <f>+FER!H63</f>
        <v>15037.779</v>
      </c>
      <c r="H76" s="1242">
        <f>+FER!I63</f>
        <v>13841</v>
      </c>
      <c r="I76" s="1242">
        <f>+FER!J63</f>
        <v>15015.334999999999</v>
      </c>
      <c r="J76" s="1307">
        <f t="shared" ref="J76:O76" si="41">+J29</f>
        <v>18905.315423189131</v>
      </c>
      <c r="K76" s="1307">
        <f t="shared" si="41"/>
        <v>18522.670665892139</v>
      </c>
      <c r="L76" s="1307">
        <f t="shared" si="41"/>
        <v>18538.800288703984</v>
      </c>
      <c r="M76" s="1307">
        <f t="shared" si="41"/>
        <v>18969.352600410635</v>
      </c>
      <c r="N76" s="1307">
        <f t="shared" si="41"/>
        <v>19773.099659368738</v>
      </c>
      <c r="O76" s="1308">
        <f t="shared" si="41"/>
        <v>21023.656634781382</v>
      </c>
    </row>
    <row r="77" spans="1:15">
      <c r="A77" s="1214" t="s">
        <v>1343</v>
      </c>
      <c r="B77" s="1242">
        <f>+FER!C64</f>
        <v>0</v>
      </c>
      <c r="C77" s="1242">
        <f>+FER!D64</f>
        <v>0</v>
      </c>
      <c r="D77" s="1242">
        <f>+FER!E64</f>
        <v>0</v>
      </c>
      <c r="E77" s="1242">
        <f>+FER!F64</f>
        <v>0</v>
      </c>
      <c r="F77" s="1242">
        <f>+FER!G64</f>
        <v>0</v>
      </c>
      <c r="G77" s="1242">
        <f>+FER!H64</f>
        <v>0</v>
      </c>
      <c r="H77" s="1242">
        <f>+FER!I64</f>
        <v>0</v>
      </c>
      <c r="I77" s="1242">
        <f>+FER!J64</f>
        <v>0</v>
      </c>
      <c r="J77" s="1307">
        <f t="shared" ref="J77:O78" si="42">+I77</f>
        <v>0</v>
      </c>
      <c r="K77" s="1307">
        <f t="shared" si="42"/>
        <v>0</v>
      </c>
      <c r="L77" s="1307">
        <f t="shared" si="42"/>
        <v>0</v>
      </c>
      <c r="M77" s="1307">
        <f t="shared" si="42"/>
        <v>0</v>
      </c>
      <c r="N77" s="1307">
        <f t="shared" si="42"/>
        <v>0</v>
      </c>
      <c r="O77" s="1308">
        <f t="shared" si="42"/>
        <v>0</v>
      </c>
    </row>
    <row r="78" spans="1:15">
      <c r="A78" s="1214" t="s">
        <v>1344</v>
      </c>
      <c r="B78" s="1242">
        <f>+FER!C65</f>
        <v>97.518000000000001</v>
      </c>
      <c r="C78" s="1242">
        <f>+FER!D65</f>
        <v>30.131</v>
      </c>
      <c r="D78" s="1242">
        <f>+FER!E65</f>
        <v>50.75</v>
      </c>
      <c r="E78" s="1242">
        <f>+FER!F65</f>
        <v>0</v>
      </c>
      <c r="F78" s="1242">
        <f>+FER!G65</f>
        <v>0</v>
      </c>
      <c r="G78" s="1242">
        <f>+FER!H65</f>
        <v>0</v>
      </c>
      <c r="H78" s="1242">
        <f>+FER!I65</f>
        <v>0</v>
      </c>
      <c r="I78" s="1242">
        <f>+FER!J65</f>
        <v>0</v>
      </c>
      <c r="J78" s="1307">
        <f t="shared" si="42"/>
        <v>0</v>
      </c>
      <c r="K78" s="1307">
        <f t="shared" si="42"/>
        <v>0</v>
      </c>
      <c r="L78" s="1307">
        <f t="shared" si="42"/>
        <v>0</v>
      </c>
      <c r="M78" s="1307">
        <f t="shared" si="42"/>
        <v>0</v>
      </c>
      <c r="N78" s="1307">
        <f t="shared" si="42"/>
        <v>0</v>
      </c>
      <c r="O78" s="1308">
        <f t="shared" si="42"/>
        <v>0</v>
      </c>
    </row>
    <row r="79" spans="1:15">
      <c r="A79" s="1252" t="s">
        <v>324</v>
      </c>
      <c r="B79" s="1255">
        <f>SUM(B72:B78)</f>
        <v>57698.875</v>
      </c>
      <c r="C79" s="1255">
        <f t="shared" ref="C79:O79" si="43">SUM(C72:C78)</f>
        <v>73569.646999999997</v>
      </c>
      <c r="D79" s="1255">
        <f t="shared" si="43"/>
        <v>75802.016000000003</v>
      </c>
      <c r="E79" s="1255">
        <f t="shared" si="43"/>
        <v>65102.270000000004</v>
      </c>
      <c r="F79" s="1255">
        <f t="shared" si="43"/>
        <v>69884.407999999996</v>
      </c>
      <c r="G79" s="1255">
        <f t="shared" si="43"/>
        <v>31255.697</v>
      </c>
      <c r="H79" s="1255">
        <f t="shared" si="43"/>
        <v>30060</v>
      </c>
      <c r="I79" s="1255">
        <f t="shared" si="43"/>
        <v>31233.253000000001</v>
      </c>
      <c r="J79" s="1313">
        <f t="shared" si="43"/>
        <v>35123.233423189129</v>
      </c>
      <c r="K79" s="1313">
        <f t="shared" si="43"/>
        <v>34740.588665892137</v>
      </c>
      <c r="L79" s="1313">
        <f t="shared" si="43"/>
        <v>34756.718288703982</v>
      </c>
      <c r="M79" s="1313">
        <f t="shared" si="43"/>
        <v>35187.270600410637</v>
      </c>
      <c r="N79" s="1313">
        <f t="shared" si="43"/>
        <v>35991.017659368736</v>
      </c>
      <c r="O79" s="1314">
        <f t="shared" si="43"/>
        <v>37241.574634781384</v>
      </c>
    </row>
    <row r="80" spans="1:15" ht="15.75" thickBot="1">
      <c r="A80" s="1253" t="s">
        <v>1345</v>
      </c>
      <c r="B80" s="1246">
        <f>+B79+B70</f>
        <v>75284.536999999997</v>
      </c>
      <c r="C80" s="1246">
        <f t="shared" ref="C80:O80" si="44">+C79+C70</f>
        <v>95549.676999999996</v>
      </c>
      <c r="D80" s="1246">
        <f t="shared" si="44"/>
        <v>97148.837</v>
      </c>
      <c r="E80" s="1246">
        <f t="shared" si="44"/>
        <v>101825.611</v>
      </c>
      <c r="F80" s="1246">
        <f t="shared" si="44"/>
        <v>106430.655</v>
      </c>
      <c r="G80" s="1246">
        <f t="shared" si="44"/>
        <v>56421.718999999997</v>
      </c>
      <c r="H80" s="1246">
        <f t="shared" si="44"/>
        <v>74629</v>
      </c>
      <c r="I80" s="1246">
        <f t="shared" si="44"/>
        <v>97187.28899999999</v>
      </c>
      <c r="J80" s="1315">
        <f t="shared" si="44"/>
        <v>104028.83286935867</v>
      </c>
      <c r="K80" s="1315">
        <f t="shared" si="44"/>
        <v>107151.46446832365</v>
      </c>
      <c r="L80" s="1315">
        <f t="shared" si="44"/>
        <v>109995.52543213713</v>
      </c>
      <c r="M80" s="1315">
        <f t="shared" si="44"/>
        <v>114696.88971590795</v>
      </c>
      <c r="N80" s="1315">
        <f t="shared" si="44"/>
        <v>120029.18084453011</v>
      </c>
      <c r="O80" s="1316">
        <f t="shared" si="44"/>
        <v>126302.17213694182</v>
      </c>
    </row>
    <row r="81" spans="1:15" ht="15.75" thickTop="1"/>
    <row r="82" spans="1:15">
      <c r="A82" s="17" t="s">
        <v>1346</v>
      </c>
      <c r="B82" s="1257">
        <f>+B80-B50</f>
        <v>0</v>
      </c>
      <c r="C82" s="1257">
        <f t="shared" ref="C82:O82" si="45">+C80-C50</f>
        <v>0</v>
      </c>
      <c r="D82" s="1257">
        <f t="shared" si="45"/>
        <v>0</v>
      </c>
      <c r="E82" s="1257">
        <f t="shared" si="45"/>
        <v>0</v>
      </c>
      <c r="F82" s="1257">
        <f t="shared" si="45"/>
        <v>0</v>
      </c>
      <c r="G82" s="1257">
        <f t="shared" si="45"/>
        <v>0</v>
      </c>
      <c r="H82" s="1257">
        <f t="shared" si="45"/>
        <v>0</v>
      </c>
      <c r="I82" s="1257">
        <f>+I80-I50</f>
        <v>0</v>
      </c>
      <c r="J82" s="1257">
        <f t="shared" ca="1" si="45"/>
        <v>0</v>
      </c>
      <c r="K82" s="1257">
        <f t="shared" ca="1" si="45"/>
        <v>0</v>
      </c>
      <c r="L82" s="1257">
        <f t="shared" ca="1" si="45"/>
        <v>0</v>
      </c>
      <c r="M82" s="1257">
        <f t="shared" ca="1" si="45"/>
        <v>0</v>
      </c>
      <c r="N82" s="1257">
        <f t="shared" ca="1" si="45"/>
        <v>0</v>
      </c>
      <c r="O82" s="1257">
        <f t="shared" ca="1" si="45"/>
        <v>0</v>
      </c>
    </row>
    <row r="84" spans="1:15">
      <c r="A84" s="1260" t="s">
        <v>1347</v>
      </c>
      <c r="B84" s="1245">
        <f>+B53+B63</f>
        <v>0</v>
      </c>
      <c r="C84" s="1262">
        <f t="shared" ref="C84:O84" si="46">+C53+C63</f>
        <v>0</v>
      </c>
      <c r="D84" s="1262">
        <f t="shared" si="46"/>
        <v>0</v>
      </c>
      <c r="E84" s="1262">
        <f t="shared" si="46"/>
        <v>0</v>
      </c>
      <c r="F84" s="1262">
        <f t="shared" si="46"/>
        <v>0</v>
      </c>
      <c r="G84" s="1262">
        <f t="shared" si="46"/>
        <v>0</v>
      </c>
      <c r="H84" s="1262">
        <f t="shared" si="46"/>
        <v>0</v>
      </c>
      <c r="I84" s="1262">
        <f t="shared" si="46"/>
        <v>0</v>
      </c>
      <c r="J84" s="1262">
        <f t="shared" si="46"/>
        <v>0</v>
      </c>
      <c r="K84" s="1262">
        <f t="shared" si="46"/>
        <v>0</v>
      </c>
      <c r="L84" s="1262">
        <f t="shared" si="46"/>
        <v>0</v>
      </c>
      <c r="M84" s="1262">
        <f t="shared" si="46"/>
        <v>0</v>
      </c>
      <c r="N84" s="1262">
        <f t="shared" si="46"/>
        <v>0</v>
      </c>
      <c r="O84" s="1263">
        <f t="shared" si="46"/>
        <v>0</v>
      </c>
    </row>
    <row r="85" spans="1:15">
      <c r="A85" s="1261" t="s">
        <v>1348</v>
      </c>
      <c r="B85" s="1264">
        <f>+B84-B36</f>
        <v>-6226.7349999999997</v>
      </c>
      <c r="C85" s="1265">
        <f t="shared" ref="C85:O85" si="47">+C84-C36</f>
        <v>-10449.946</v>
      </c>
      <c r="D85" s="1265">
        <f t="shared" si="47"/>
        <v>-8903.0879999999997</v>
      </c>
      <c r="E85" s="1265">
        <f t="shared" si="47"/>
        <v>-11296.766</v>
      </c>
      <c r="F85" s="1265">
        <f t="shared" si="47"/>
        <v>-7637.2430000000004</v>
      </c>
      <c r="G85" s="1265">
        <f t="shared" si="47"/>
        <v>-7760.9030000000002</v>
      </c>
      <c r="H85" s="1265">
        <f t="shared" si="47"/>
        <v>-11832</v>
      </c>
      <c r="I85" s="1265">
        <f t="shared" si="47"/>
        <v>-7493.665</v>
      </c>
      <c r="J85" s="1265">
        <f t="shared" ca="1" si="47"/>
        <v>-9461.7193935157447</v>
      </c>
      <c r="K85" s="1265">
        <f t="shared" ca="1" si="47"/>
        <v>-11481.283911092809</v>
      </c>
      <c r="L85" s="1265">
        <f t="shared" ca="1" si="47"/>
        <v>-14256.871780895934</v>
      </c>
      <c r="M85" s="1265">
        <f t="shared" ca="1" si="47"/>
        <v>-17109.68127140154</v>
      </c>
      <c r="N85" s="1265">
        <f t="shared" ca="1" si="47"/>
        <v>-20402.080501235538</v>
      </c>
      <c r="O85" s="1266">
        <f t="shared" ca="1" si="47"/>
        <v>-24204.127737944513</v>
      </c>
    </row>
    <row r="86" spans="1:15" s="64" customFormat="1">
      <c r="A86" s="1267"/>
      <c r="B86" s="1268"/>
      <c r="C86" s="1269"/>
      <c r="D86" s="1269"/>
      <c r="E86" s="1269"/>
      <c r="F86" s="1269"/>
      <c r="G86" s="1269"/>
      <c r="H86" s="1269"/>
      <c r="I86" s="1269"/>
      <c r="J86" s="1269"/>
      <c r="K86" s="1269"/>
      <c r="L86" s="1269"/>
      <c r="M86" s="1269"/>
      <c r="N86" s="1269"/>
      <c r="O86" s="1269"/>
    </row>
    <row r="87" spans="1:15" ht="15.75" thickBot="1"/>
    <row r="88" spans="1:15" ht="15.75" thickBot="1">
      <c r="A88" s="1226" t="s">
        <v>1349</v>
      </c>
      <c r="B88" s="1226">
        <f>+B34</f>
        <v>2007</v>
      </c>
      <c r="C88" s="1226">
        <f t="shared" ref="C88:O88" si="48">+C34</f>
        <v>2008</v>
      </c>
      <c r="D88" s="1226">
        <f t="shared" si="48"/>
        <v>2009</v>
      </c>
      <c r="E88" s="1226">
        <f t="shared" si="48"/>
        <v>2010</v>
      </c>
      <c r="F88" s="1226">
        <f t="shared" si="48"/>
        <v>2011</v>
      </c>
      <c r="G88" s="1226">
        <f t="shared" si="48"/>
        <v>2012</v>
      </c>
      <c r="H88" s="1226">
        <f t="shared" si="48"/>
        <v>2013</v>
      </c>
      <c r="I88" s="1226">
        <f t="shared" si="48"/>
        <v>2014</v>
      </c>
      <c r="J88" s="1224">
        <f t="shared" si="48"/>
        <v>2015</v>
      </c>
      <c r="K88" s="1224">
        <f t="shared" si="48"/>
        <v>2016</v>
      </c>
      <c r="L88" s="1224">
        <f t="shared" si="48"/>
        <v>2017</v>
      </c>
      <c r="M88" s="1224">
        <f t="shared" si="48"/>
        <v>2018</v>
      </c>
      <c r="N88" s="1224">
        <f t="shared" si="48"/>
        <v>2019</v>
      </c>
      <c r="O88" s="1225">
        <f t="shared" si="48"/>
        <v>2020</v>
      </c>
    </row>
    <row r="89" spans="1:15">
      <c r="A89" s="1270" t="s">
        <v>1083</v>
      </c>
      <c r="B89" s="1270"/>
      <c r="C89" s="1270"/>
      <c r="D89" s="1270"/>
      <c r="E89" s="1270"/>
      <c r="F89" s="1270"/>
      <c r="G89" s="1270"/>
      <c r="H89" s="1270"/>
      <c r="I89" s="1270"/>
      <c r="J89" s="867"/>
      <c r="K89" s="867"/>
      <c r="L89" s="867"/>
      <c r="M89" s="867"/>
      <c r="N89" s="867"/>
      <c r="O89" s="867"/>
    </row>
    <row r="90" spans="1:15">
      <c r="A90" s="1271" t="s">
        <v>1084</v>
      </c>
      <c r="B90" s="1229">
        <f>+B20</f>
        <v>14740.263000000003</v>
      </c>
      <c r="C90" s="1242">
        <f t="shared" ref="C90:O90" si="49">+C20</f>
        <v>20704.757999999998</v>
      </c>
      <c r="D90" s="1242">
        <f t="shared" si="49"/>
        <v>20265.82499999999</v>
      </c>
      <c r="E90" s="1242">
        <f t="shared" si="49"/>
        <v>23675.207999999999</v>
      </c>
      <c r="F90" s="1242">
        <f t="shared" si="49"/>
        <v>19528.06500000001</v>
      </c>
      <c r="G90" s="1242">
        <f t="shared" si="49"/>
        <v>22089.508999999998</v>
      </c>
      <c r="H90" s="1242">
        <f t="shared" si="49"/>
        <v>18139.900000000009</v>
      </c>
      <c r="I90" s="1242">
        <f t="shared" si="49"/>
        <v>12903.96</v>
      </c>
      <c r="J90" s="1307">
        <f t="shared" si="49"/>
        <v>10119.773776044136</v>
      </c>
      <c r="K90" s="1307">
        <f t="shared" si="49"/>
        <v>8724.9246768608155</v>
      </c>
      <c r="L90" s="1307">
        <f t="shared" si="49"/>
        <v>8149.8319360392379</v>
      </c>
      <c r="M90" s="1307">
        <f t="shared" si="49"/>
        <v>8184.0668817486221</v>
      </c>
      <c r="N90" s="1307">
        <f t="shared" si="49"/>
        <v>8785.1441623613591</v>
      </c>
      <c r="O90" s="1307">
        <f t="shared" si="49"/>
        <v>10044.70452606793</v>
      </c>
    </row>
    <row r="91" spans="1:15">
      <c r="A91" s="1271" t="s">
        <v>1085</v>
      </c>
      <c r="B91" s="1229">
        <f>+B28</f>
        <v>7721.2330000000002</v>
      </c>
      <c r="C91" s="1242">
        <f t="shared" ref="C91:O91" si="50">+C28</f>
        <v>11405.083000000001</v>
      </c>
      <c r="D91" s="1242">
        <f t="shared" si="50"/>
        <v>8982.3680000000004</v>
      </c>
      <c r="E91" s="1242">
        <f t="shared" si="50"/>
        <v>9483.6110000000008</v>
      </c>
      <c r="F91" s="1242">
        <f t="shared" si="50"/>
        <v>10511.474</v>
      </c>
      <c r="G91" s="1242">
        <f t="shared" si="50"/>
        <v>8978.643</v>
      </c>
      <c r="H91" s="1242">
        <f t="shared" si="50"/>
        <v>9345.31</v>
      </c>
      <c r="I91" s="1242">
        <f t="shared" si="50"/>
        <v>9339.66</v>
      </c>
      <c r="J91" s="1307">
        <f t="shared" si="50"/>
        <v>3440.7230838550063</v>
      </c>
      <c r="K91" s="1307">
        <f t="shared" si="50"/>
        <v>2966.4743901326774</v>
      </c>
      <c r="L91" s="1307">
        <f t="shared" si="50"/>
        <v>2770.942858253341</v>
      </c>
      <c r="M91" s="1307">
        <f t="shared" si="50"/>
        <v>2782.5827397945318</v>
      </c>
      <c r="N91" s="1307">
        <f t="shared" si="50"/>
        <v>2986.9490152028625</v>
      </c>
      <c r="O91" s="1307">
        <f t="shared" si="50"/>
        <v>3415.1995388630962</v>
      </c>
    </row>
    <row r="92" spans="1:15">
      <c r="A92" s="1271" t="s">
        <v>1086</v>
      </c>
      <c r="B92" s="1229">
        <f>-Supuestos!B23</f>
        <v>427.52499999999998</v>
      </c>
      <c r="C92" s="1242">
        <f>-Supuestos!C23</f>
        <v>456.274</v>
      </c>
      <c r="D92" s="1242">
        <f>-Supuestos!D23</f>
        <v>439.75099999999998</v>
      </c>
      <c r="E92" s="1242">
        <f>-Supuestos!E23</f>
        <v>479.72699999999998</v>
      </c>
      <c r="F92" s="1242">
        <f>-Supuestos!F23</f>
        <v>381.26100000000002</v>
      </c>
      <c r="G92" s="1242">
        <f>-Supuestos!G23</f>
        <v>342</v>
      </c>
      <c r="H92" s="1242">
        <f>-Supuestos!H23</f>
        <v>281</v>
      </c>
      <c r="I92" s="1242">
        <f>-Supuestos!I23</f>
        <v>193.89</v>
      </c>
      <c r="J92" s="1307">
        <f>-Supuestos!J23</f>
        <v>202.14114999999998</v>
      </c>
      <c r="K92" s="1307">
        <f>-Supuestos!K23</f>
        <v>162.96572880479582</v>
      </c>
      <c r="L92" s="1307">
        <f>-Supuestos!L23</f>
        <v>152.02899265040796</v>
      </c>
      <c r="M92" s="1307">
        <f>-Supuestos!M23</f>
        <v>174.78805509434542</v>
      </c>
      <c r="N92" s="1307">
        <f>-Supuestos!N23</f>
        <v>237.38005596165357</v>
      </c>
      <c r="O92" s="1307">
        <f>-Supuestos!O23</f>
        <v>346.25989872358144</v>
      </c>
    </row>
    <row r="93" spans="1:15">
      <c r="A93" s="1271" t="s">
        <v>1087</v>
      </c>
      <c r="B93" s="1229">
        <f>-Supuestos!B34</f>
        <v>0</v>
      </c>
      <c r="C93" s="1242">
        <f>-Supuestos!C34</f>
        <v>0.221</v>
      </c>
      <c r="D93" s="1242">
        <f>-Supuestos!D34</f>
        <v>0</v>
      </c>
      <c r="E93" s="1242">
        <f>-Supuestos!E34</f>
        <v>0</v>
      </c>
      <c r="F93" s="1242">
        <f>-Supuestos!F34</f>
        <v>0</v>
      </c>
      <c r="G93" s="1242">
        <f>-Supuestos!G34</f>
        <v>21</v>
      </c>
      <c r="H93" s="1242">
        <f>-Supuestos!H34</f>
        <v>37</v>
      </c>
      <c r="I93" s="1242">
        <f>-Supuestos!I34</f>
        <v>114.69</v>
      </c>
      <c r="J93" s="1307">
        <f>-Supuestos!J34</f>
        <v>91.992485180868172</v>
      </c>
      <c r="K93" s="1307">
        <f>-Supuestos!K34</f>
        <v>73.76516910564375</v>
      </c>
      <c r="L93" s="1307">
        <f>-Supuestos!L34</f>
        <v>58.558635467004557</v>
      </c>
      <c r="M93" s="1307">
        <f>-Supuestos!M34</f>
        <v>45.652815694256901</v>
      </c>
      <c r="N93" s="1307">
        <f>-Supuestos!N34</f>
        <v>34.481958098826425</v>
      </c>
      <c r="O93" s="1307">
        <f>-Supuestos!O34</f>
        <v>24.592678093602004</v>
      </c>
    </row>
    <row r="94" spans="1:15">
      <c r="A94" s="1270" t="s">
        <v>1088</v>
      </c>
      <c r="B94" s="1320">
        <f>+B90-B91+B92+B93</f>
        <v>7446.5550000000021</v>
      </c>
      <c r="C94" s="1320">
        <f t="shared" ref="C94:I94" si="51">+C90-C91+C92+C93</f>
        <v>9756.1699999999964</v>
      </c>
      <c r="D94" s="1320">
        <f t="shared" si="51"/>
        <v>11723.20799999999</v>
      </c>
      <c r="E94" s="1320">
        <f t="shared" si="51"/>
        <v>14671.323999999999</v>
      </c>
      <c r="F94" s="1320">
        <f t="shared" si="51"/>
        <v>9397.8520000000099</v>
      </c>
      <c r="G94" s="1320">
        <f t="shared" si="51"/>
        <v>13473.865999999998</v>
      </c>
      <c r="H94" s="1320">
        <f t="shared" si="51"/>
        <v>9112.5900000000092</v>
      </c>
      <c r="I94" s="1320">
        <f t="shared" si="51"/>
        <v>3872.8799999999992</v>
      </c>
      <c r="J94" s="1322">
        <f t="shared" ref="J94:O94" si="52">+J90-J91+J92+J93</f>
        <v>6973.1843273699988</v>
      </c>
      <c r="K94" s="1322">
        <f t="shared" si="52"/>
        <v>5995.1811846385772</v>
      </c>
      <c r="L94" s="1322">
        <f t="shared" si="52"/>
        <v>5589.4767059033102</v>
      </c>
      <c r="M94" s="1322">
        <f t="shared" si="52"/>
        <v>5621.9250127426922</v>
      </c>
      <c r="N94" s="1322">
        <f t="shared" si="52"/>
        <v>6070.057161218976</v>
      </c>
      <c r="O94" s="1322">
        <f t="shared" si="52"/>
        <v>7000.357564022017</v>
      </c>
    </row>
    <row r="95" spans="1:15">
      <c r="A95" s="1272" t="s">
        <v>1350</v>
      </c>
      <c r="B95" s="1229">
        <f>+Supuestos!B44</f>
        <v>755.76799999999639</v>
      </c>
      <c r="C95" s="1242">
        <f>+Supuestos!C44</f>
        <v>-13712.713999999993</v>
      </c>
      <c r="D95" s="1242">
        <f>+Supuestos!D44</f>
        <v>44026.83</v>
      </c>
      <c r="E95" s="1242">
        <f>+Supuestos!E44</f>
        <v>12501.376999999993</v>
      </c>
      <c r="F95" s="1242">
        <f>+Supuestos!F44</f>
        <v>-4139.3759999999966</v>
      </c>
      <c r="G95" s="1242">
        <f>+Supuestos!G44</f>
        <v>-15902.147000000004</v>
      </c>
      <c r="H95" s="1242">
        <f>+Supuestos!H44</f>
        <v>8719.5620000000054</v>
      </c>
      <c r="I95" s="1242">
        <f>+Supuestos!I44</f>
        <v>-6143.6680000000051</v>
      </c>
      <c r="J95" s="1307">
        <f ca="1">+Supuestos!J44</f>
        <v>-2411.8802954799175</v>
      </c>
      <c r="K95" s="1307">
        <f ca="1">+Supuestos!K44</f>
        <v>2071.248467353973</v>
      </c>
      <c r="L95" s="1307">
        <f ca="1">+Supuestos!L44</f>
        <v>2944.3638619241246</v>
      </c>
      <c r="M95" s="1307">
        <f ca="1">+Supuestos!M44</f>
        <v>3152.7246206936397</v>
      </c>
      <c r="N95" s="1307">
        <f ca="1">+Supuestos!N44</f>
        <v>3794.8407734761277</v>
      </c>
      <c r="O95" s="1307">
        <f ca="1">+Supuestos!O44</f>
        <v>4468.19384753138</v>
      </c>
    </row>
    <row r="96" spans="1:15">
      <c r="A96" s="1272" t="s">
        <v>1351</v>
      </c>
      <c r="B96" s="1242">
        <f>+'[6]Anexo 1 - Balance'!B79-'[6]Anexo 1 - Balance'!C79</f>
        <v>-272.99000000000069</v>
      </c>
      <c r="C96" s="1242">
        <f>+'[6]Anexo 1 - Balance'!C79-'[6]Anexo 1 - Balance'!D79</f>
        <v>1017.1030000000001</v>
      </c>
      <c r="D96" s="1242">
        <f>+'[6]Anexo 1 - Balance'!D79-'[6]Anexo 1 - Balance'!E79</f>
        <v>133.125</v>
      </c>
      <c r="E96" s="1242">
        <f>+'[6]Anexo 1 - Balance'!E79-'[6]Anexo 1 - Balance'!F79</f>
        <v>496.15500000000065</v>
      </c>
      <c r="F96" s="1242">
        <f>+'[6]Anexo 1 - Balance'!F79-'[6]Anexo 1 - Balance'!G79</f>
        <v>504.54599999999982</v>
      </c>
      <c r="G96" s="1242">
        <f>+'[6]Anexo 1 - Balance'!G79-'[6]Anexo 1 - Balance'!H79</f>
        <v>254.33599999999979</v>
      </c>
      <c r="H96" s="1242">
        <f>+'[6]Anexo 1 - Balance'!H79-'[6]Anexo 1 - Balance'!I79</f>
        <v>-722.4369999999999</v>
      </c>
      <c r="I96" s="1242">
        <f>+'[6]Anexo 1 - Balance'!I79-'[6]Anexo 1 - Balance'!J79</f>
        <v>1061.7080000000001</v>
      </c>
      <c r="J96" s="1323">
        <f t="shared" ref="J96:O96" si="53">+I44-J44</f>
        <v>731.55278062565321</v>
      </c>
      <c r="K96" s="1323">
        <f t="shared" si="53"/>
        <v>257.19563841444233</v>
      </c>
      <c r="L96" s="1323">
        <f t="shared" si="53"/>
        <v>-243.46425039984797</v>
      </c>
      <c r="M96" s="1323">
        <f t="shared" si="53"/>
        <v>-776.12025758893924</v>
      </c>
      <c r="N96" s="1323">
        <f t="shared" si="53"/>
        <v>-1340.6705606990608</v>
      </c>
      <c r="O96" s="1323">
        <f t="shared" si="53"/>
        <v>-1941.2962643286546</v>
      </c>
    </row>
    <row r="97" spans="1:15">
      <c r="A97" s="1270" t="s">
        <v>1352</v>
      </c>
      <c r="B97" s="1320">
        <f>+SUM(B95:B96)</f>
        <v>482.7779999999957</v>
      </c>
      <c r="C97" s="1320">
        <f t="shared" ref="C97:I97" si="54">+SUM(C95:C96)</f>
        <v>-12695.610999999994</v>
      </c>
      <c r="D97" s="1320">
        <f t="shared" si="54"/>
        <v>44159.955000000002</v>
      </c>
      <c r="E97" s="1320">
        <f t="shared" si="54"/>
        <v>12997.531999999994</v>
      </c>
      <c r="F97" s="1320">
        <f t="shared" si="54"/>
        <v>-3634.8299999999967</v>
      </c>
      <c r="G97" s="1320">
        <f t="shared" si="54"/>
        <v>-15647.811000000005</v>
      </c>
      <c r="H97" s="1320">
        <f t="shared" si="54"/>
        <v>7997.1250000000055</v>
      </c>
      <c r="I97" s="1320">
        <f t="shared" si="54"/>
        <v>-5081.9600000000046</v>
      </c>
      <c r="J97" s="1322">
        <f t="shared" ref="J97:O97" ca="1" si="55">+SUM(J95:J96)</f>
        <v>-1680.3275148542643</v>
      </c>
      <c r="K97" s="1322">
        <f t="shared" ca="1" si="55"/>
        <v>2328.4441057684153</v>
      </c>
      <c r="L97" s="1322">
        <f t="shared" ca="1" si="55"/>
        <v>2700.8996115242767</v>
      </c>
      <c r="M97" s="1322">
        <f t="shared" ca="1" si="55"/>
        <v>2376.6043631047005</v>
      </c>
      <c r="N97" s="1322">
        <f t="shared" ca="1" si="55"/>
        <v>2454.1702127770668</v>
      </c>
      <c r="O97" s="1322">
        <f t="shared" ca="1" si="55"/>
        <v>2526.8975832027254</v>
      </c>
    </row>
    <row r="98" spans="1:15">
      <c r="A98" s="1270" t="s">
        <v>1092</v>
      </c>
      <c r="B98" s="1320">
        <f>+B94+B97</f>
        <v>7929.3329999999978</v>
      </c>
      <c r="C98" s="1320">
        <f t="shared" ref="C98:I98" si="56">+C94+C97</f>
        <v>-2939.4409999999971</v>
      </c>
      <c r="D98" s="1320">
        <f t="shared" si="56"/>
        <v>55883.162999999993</v>
      </c>
      <c r="E98" s="1320">
        <f t="shared" si="56"/>
        <v>27668.855999999992</v>
      </c>
      <c r="F98" s="1320">
        <f t="shared" si="56"/>
        <v>5763.0220000000136</v>
      </c>
      <c r="G98" s="1320">
        <f t="shared" si="56"/>
        <v>-2173.945000000007</v>
      </c>
      <c r="H98" s="1320">
        <f t="shared" si="56"/>
        <v>17109.715000000015</v>
      </c>
      <c r="I98" s="1320">
        <f t="shared" si="56"/>
        <v>-1209.0800000000054</v>
      </c>
      <c r="J98" s="1322">
        <f t="shared" ref="J98:O98" ca="1" si="57">+J94+J97</f>
        <v>5292.8568125157344</v>
      </c>
      <c r="K98" s="1322">
        <f t="shared" ca="1" si="57"/>
        <v>8323.6252904069916</v>
      </c>
      <c r="L98" s="1322">
        <f t="shared" ca="1" si="57"/>
        <v>8290.3763174275864</v>
      </c>
      <c r="M98" s="1322">
        <f t="shared" ca="1" si="57"/>
        <v>7998.5293758473927</v>
      </c>
      <c r="N98" s="1322">
        <f t="shared" ca="1" si="57"/>
        <v>8524.2273739960438</v>
      </c>
      <c r="O98" s="1322">
        <f t="shared" ca="1" si="57"/>
        <v>9527.2551472247433</v>
      </c>
    </row>
    <row r="99" spans="1:15">
      <c r="A99" s="1214" t="s">
        <v>1353</v>
      </c>
      <c r="B99" s="1229">
        <f>+('[6]Anexo 1 - Balance'!B105-'[6]Anexo 1 - Balance'!B104-'[6]Anexo 1 - Balance'!B79)-(B49-B48-B44)</f>
        <v>360.00500000000011</v>
      </c>
      <c r="C99" s="1229">
        <f>(B49-B48-B44)-(C49-C48-C44)</f>
        <v>980.66299999999956</v>
      </c>
      <c r="D99" s="1229">
        <f t="shared" ref="D99:I99" si="58">(C49-C48-C44)-(D49-D48-D44)</f>
        <v>-47918.563000000002</v>
      </c>
      <c r="E99" s="1229">
        <f>(D49-D48-D44)-(E49-E48-E44)</f>
        <v>45.142000000007101</v>
      </c>
      <c r="F99" s="1229">
        <f t="shared" si="58"/>
        <v>-4806.8310000000056</v>
      </c>
      <c r="G99" s="1229">
        <f t="shared" si="58"/>
        <v>53123.609000000004</v>
      </c>
      <c r="H99" s="1229">
        <f t="shared" si="58"/>
        <v>-1736.7579999999998</v>
      </c>
      <c r="I99" s="1229">
        <f t="shared" si="58"/>
        <v>-146.62800000000061</v>
      </c>
      <c r="J99" s="1307">
        <f t="shared" ref="J99:O99" si="59">(I49-I48-I44)-(J49-J48-J44)</f>
        <v>-241.59851481913029</v>
      </c>
      <c r="K99" s="1307">
        <f t="shared" si="59"/>
        <v>73.765169105641689</v>
      </c>
      <c r="L99" s="1307">
        <f t="shared" si="59"/>
        <v>58.558635467005843</v>
      </c>
      <c r="M99" s="1307">
        <f t="shared" si="59"/>
        <v>45.652815694255878</v>
      </c>
      <c r="N99" s="1307">
        <f t="shared" si="59"/>
        <v>34.481958098826908</v>
      </c>
      <c r="O99" s="1307">
        <f t="shared" si="59"/>
        <v>24.592678093601535</v>
      </c>
    </row>
    <row r="100" spans="1:15">
      <c r="A100" s="1214" t="s">
        <v>1354</v>
      </c>
      <c r="B100" s="1229">
        <f>+B69-'[6]Anexo 1 - Balance'!B205</f>
        <v>0</v>
      </c>
      <c r="C100" s="1229">
        <f>+C69-B69</f>
        <v>0</v>
      </c>
      <c r="D100" s="1229">
        <f t="shared" ref="D100:I100" si="60">+D69-C69</f>
        <v>0</v>
      </c>
      <c r="E100" s="1229">
        <f t="shared" si="60"/>
        <v>0</v>
      </c>
      <c r="F100" s="1229">
        <f t="shared" si="60"/>
        <v>0</v>
      </c>
      <c r="G100" s="1229">
        <f t="shared" si="60"/>
        <v>1276.5730000000001</v>
      </c>
      <c r="H100" s="1229">
        <f t="shared" si="60"/>
        <v>-993.57300000000009</v>
      </c>
      <c r="I100" s="1229">
        <f t="shared" si="60"/>
        <v>-283</v>
      </c>
      <c r="J100" s="1307">
        <f t="shared" ref="J100:O100" si="61">+J69-I69</f>
        <v>0</v>
      </c>
      <c r="K100" s="1307">
        <f t="shared" si="61"/>
        <v>0</v>
      </c>
      <c r="L100" s="1307">
        <f t="shared" si="61"/>
        <v>0</v>
      </c>
      <c r="M100" s="1307">
        <f t="shared" si="61"/>
        <v>0</v>
      </c>
      <c r="N100" s="1307">
        <f t="shared" si="61"/>
        <v>0</v>
      </c>
      <c r="O100" s="1307">
        <f t="shared" si="61"/>
        <v>0</v>
      </c>
    </row>
    <row r="101" spans="1:15">
      <c r="A101" s="1214" t="s">
        <v>1355</v>
      </c>
      <c r="B101" s="1229">
        <f>+(B73+B75)-('[6]Anexo 1 - Balance'!B220+'[6]Anexo 1 - Balance'!B222)</f>
        <v>0</v>
      </c>
      <c r="C101" s="1229">
        <f t="shared" ref="C101:I101" si="62">+(C73+C75)-(B73+B75)</f>
        <v>0</v>
      </c>
      <c r="D101" s="1229">
        <f t="shared" si="62"/>
        <v>-721.89099999999962</v>
      </c>
      <c r="E101" s="1229">
        <f t="shared" si="62"/>
        <v>-721.89099999999962</v>
      </c>
      <c r="F101" s="1229">
        <f t="shared" si="62"/>
        <v>-1276.5720000000001</v>
      </c>
      <c r="G101" s="1229">
        <f t="shared" si="62"/>
        <v>-3829.7169999999996</v>
      </c>
      <c r="H101" s="1229">
        <f t="shared" si="62"/>
        <v>0.45799999999962893</v>
      </c>
      <c r="I101" s="1229">
        <f t="shared" si="62"/>
        <v>-0.45799999999962893</v>
      </c>
      <c r="J101" s="1307">
        <f t="shared" ref="J101:O101" si="63">+(J73+J75)-(I73+I75)</f>
        <v>0</v>
      </c>
      <c r="K101" s="1307">
        <f t="shared" si="63"/>
        <v>0</v>
      </c>
      <c r="L101" s="1307">
        <f t="shared" si="63"/>
        <v>0</v>
      </c>
      <c r="M101" s="1307">
        <f t="shared" si="63"/>
        <v>0</v>
      </c>
      <c r="N101" s="1307">
        <f t="shared" si="63"/>
        <v>0</v>
      </c>
      <c r="O101" s="1307">
        <f t="shared" si="63"/>
        <v>0</v>
      </c>
    </row>
    <row r="102" spans="1:15">
      <c r="A102" s="1214" t="s">
        <v>1356</v>
      </c>
      <c r="B102" s="1229">
        <f>+(B72-'[6]Anexo 1 - Balance'!B208)</f>
        <v>0</v>
      </c>
      <c r="C102" s="1229">
        <f>+(C72-B72)</f>
        <v>0</v>
      </c>
      <c r="D102" s="1229">
        <f t="shared" ref="D102:I102" si="64">+(D72-C72)</f>
        <v>0</v>
      </c>
      <c r="E102" s="1229">
        <f t="shared" si="64"/>
        <v>0</v>
      </c>
      <c r="F102" s="1229">
        <f t="shared" si="64"/>
        <v>0</v>
      </c>
      <c r="G102" s="1229">
        <f t="shared" si="64"/>
        <v>0</v>
      </c>
      <c r="H102" s="1229">
        <f t="shared" si="64"/>
        <v>0.23099999999976717</v>
      </c>
      <c r="I102" s="1229">
        <f t="shared" si="64"/>
        <v>-0.23099999999976717</v>
      </c>
      <c r="J102" s="1307">
        <f t="shared" ref="J102:O102" si="65">+(J72-I72)</f>
        <v>0</v>
      </c>
      <c r="K102" s="1307">
        <f t="shared" si="65"/>
        <v>0</v>
      </c>
      <c r="L102" s="1307">
        <f t="shared" si="65"/>
        <v>0</v>
      </c>
      <c r="M102" s="1307">
        <f t="shared" si="65"/>
        <v>0</v>
      </c>
      <c r="N102" s="1307">
        <f t="shared" si="65"/>
        <v>0</v>
      </c>
      <c r="O102" s="1307">
        <f t="shared" si="65"/>
        <v>0</v>
      </c>
    </row>
    <row r="103" spans="1:15">
      <c r="A103" s="1214" t="s">
        <v>1357</v>
      </c>
      <c r="B103" s="1229">
        <f>+Supuestos!B19</f>
        <v>13753.022000000001</v>
      </c>
      <c r="C103" s="1229">
        <f>+Supuestos!C19</f>
        <v>7002.3790000000045</v>
      </c>
      <c r="D103" s="1229">
        <f>+Supuestos!D19</f>
        <v>11055.378000000004</v>
      </c>
      <c r="E103" s="1229">
        <f>+Supuestos!E19</f>
        <v>28107.853999999996</v>
      </c>
      <c r="F103" s="1229">
        <f>+Supuestos!F19</f>
        <v>11886.921999999999</v>
      </c>
      <c r="G103" s="1229">
        <f>+Supuestos!G19</f>
        <v>49836.773000000001</v>
      </c>
      <c r="H103" s="1229">
        <f>+Supuestos!H19</f>
        <v>15037.385999999999</v>
      </c>
      <c r="I103" s="1229">
        <f>+Supuestos!I19</f>
        <v>13841.673000000013</v>
      </c>
      <c r="J103" s="1307">
        <f>+Supuestos!J19</f>
        <v>15015.329999999998</v>
      </c>
      <c r="K103" s="1307">
        <f>+Supuestos!K19</f>
        <v>18905.315423189131</v>
      </c>
      <c r="L103" s="1307">
        <f>+Supuestos!L19</f>
        <v>18522.670665892139</v>
      </c>
      <c r="M103" s="1307">
        <f>+Supuestos!M19</f>
        <v>18538.800288703984</v>
      </c>
      <c r="N103" s="1307">
        <f>+Supuestos!N19</f>
        <v>18969.352600410635</v>
      </c>
      <c r="O103" s="1307">
        <f>+Supuestos!O19</f>
        <v>19773.099659368738</v>
      </c>
    </row>
    <row r="104" spans="1:15">
      <c r="A104" s="1214" t="s">
        <v>1358</v>
      </c>
      <c r="B104" s="1229">
        <f>+B23</f>
        <v>15307.147999999999</v>
      </c>
      <c r="C104" s="1229">
        <f t="shared" ref="C104:O105" si="66">+C23</f>
        <v>28760.128000000001</v>
      </c>
      <c r="D104" s="1229">
        <f t="shared" si="66"/>
        <v>23005.704000000002</v>
      </c>
      <c r="E104" s="1229">
        <f t="shared" si="66"/>
        <v>12255.781000000001</v>
      </c>
      <c r="F104" s="1229">
        <f t="shared" si="66"/>
        <v>19736.356</v>
      </c>
      <c r="G104" s="1229">
        <f t="shared" si="66"/>
        <v>17457.718000000001</v>
      </c>
      <c r="H104" s="1229">
        <f t="shared" si="66"/>
        <v>11521.62</v>
      </c>
      <c r="I104" s="1229">
        <f t="shared" si="66"/>
        <v>28394.92</v>
      </c>
      <c r="J104" s="1307">
        <f t="shared" si="66"/>
        <v>30317.256084000001</v>
      </c>
      <c r="K104" s="1307">
        <f t="shared" si="66"/>
        <v>31651.215351696002</v>
      </c>
      <c r="L104" s="1307">
        <f t="shared" si="66"/>
        <v>32632.403027598575</v>
      </c>
      <c r="M104" s="1307">
        <f t="shared" si="66"/>
        <v>33644.007521454128</v>
      </c>
      <c r="N104" s="1307">
        <f t="shared" si="66"/>
        <v>34653.327747097755</v>
      </c>
      <c r="O104" s="1307">
        <f t="shared" si="66"/>
        <v>35692.927579510688</v>
      </c>
    </row>
    <row r="105" spans="1:15">
      <c r="A105" s="1214" t="s">
        <v>1099</v>
      </c>
      <c r="B105" s="1229">
        <f>+B24</f>
        <v>10019.89</v>
      </c>
      <c r="C105" s="1229">
        <f t="shared" ref="C105:I105" si="67">+C24</f>
        <v>15119.264999999999</v>
      </c>
      <c r="D105" s="1229">
        <f t="shared" si="67"/>
        <v>20300.142</v>
      </c>
      <c r="E105" s="1229">
        <f t="shared" si="67"/>
        <v>8266.6290000000008</v>
      </c>
      <c r="F105" s="1229">
        <f t="shared" si="67"/>
        <v>10807.315000000001</v>
      </c>
      <c r="G105" s="1229">
        <f t="shared" si="67"/>
        <v>15530.805</v>
      </c>
      <c r="H105" s="1229">
        <f t="shared" si="67"/>
        <v>6474.93</v>
      </c>
      <c r="I105" s="1229">
        <f t="shared" si="67"/>
        <v>16943.89</v>
      </c>
      <c r="J105" s="1307">
        <f t="shared" si="66"/>
        <v>18090.991353000001</v>
      </c>
      <c r="K105" s="1307">
        <f t="shared" si="66"/>
        <v>18886.994972532</v>
      </c>
      <c r="L105" s="1307">
        <f t="shared" si="66"/>
        <v>19472.491816680489</v>
      </c>
      <c r="M105" s="1307">
        <f t="shared" si="66"/>
        <v>20076.139062997583</v>
      </c>
      <c r="N105" s="1307">
        <f t="shared" si="66"/>
        <v>20678.423234887512</v>
      </c>
      <c r="O105" s="1307">
        <f t="shared" si="66"/>
        <v>21298.775931934138</v>
      </c>
    </row>
    <row r="106" spans="1:15">
      <c r="A106" s="1214" t="s">
        <v>1359</v>
      </c>
      <c r="B106" s="1242">
        <f>+B92+B93</f>
        <v>427.52499999999998</v>
      </c>
      <c r="C106" s="1242">
        <f t="shared" ref="C106:O106" si="68">+C92+C93</f>
        <v>456.495</v>
      </c>
      <c r="D106" s="1242">
        <f t="shared" si="68"/>
        <v>439.75099999999998</v>
      </c>
      <c r="E106" s="1242">
        <f t="shared" si="68"/>
        <v>479.72699999999998</v>
      </c>
      <c r="F106" s="1242">
        <f t="shared" si="68"/>
        <v>381.26100000000002</v>
      </c>
      <c r="G106" s="1242">
        <f t="shared" si="68"/>
        <v>363</v>
      </c>
      <c r="H106" s="1242">
        <f t="shared" si="68"/>
        <v>318</v>
      </c>
      <c r="I106" s="1242">
        <f t="shared" si="68"/>
        <v>308.58</v>
      </c>
      <c r="J106" s="1307">
        <f t="shared" si="68"/>
        <v>294.13363518086817</v>
      </c>
      <c r="K106" s="1307">
        <f t="shared" si="68"/>
        <v>236.73089791043958</v>
      </c>
      <c r="L106" s="1307">
        <f t="shared" si="68"/>
        <v>210.58762811741252</v>
      </c>
      <c r="M106" s="1307">
        <f t="shared" si="68"/>
        <v>220.44087078860233</v>
      </c>
      <c r="N106" s="1307">
        <f t="shared" si="68"/>
        <v>271.86201406047996</v>
      </c>
      <c r="O106" s="1307">
        <f t="shared" si="68"/>
        <v>370.85257681718343</v>
      </c>
    </row>
    <row r="107" spans="1:15">
      <c r="A107" s="1270" t="s">
        <v>1101</v>
      </c>
      <c r="B107" s="1320">
        <f>+B99+B100+B101+B102-B103+B104-B105-B106</f>
        <v>-8533.2839999999997</v>
      </c>
      <c r="C107" s="1320">
        <f t="shared" ref="C107:I107" si="69">+C99+C100+C101+C102-C103+C104-C105-C106</f>
        <v>7162.6519999999973</v>
      </c>
      <c r="D107" s="1320">
        <f t="shared" si="69"/>
        <v>-57430.020999999993</v>
      </c>
      <c r="E107" s="1320">
        <f t="shared" si="69"/>
        <v>-25275.177999999985</v>
      </c>
      <c r="F107" s="1320">
        <f t="shared" si="69"/>
        <v>-9422.5450000000055</v>
      </c>
      <c r="G107" s="1320">
        <f t="shared" si="69"/>
        <v>2297.6050000000032</v>
      </c>
      <c r="H107" s="1320">
        <f t="shared" si="69"/>
        <v>-13038.337999999998</v>
      </c>
      <c r="I107" s="1320">
        <f t="shared" si="69"/>
        <v>-3129.5400000000136</v>
      </c>
      <c r="J107" s="1322">
        <f t="shared" ref="J107:O107" si="70">+J99+J100+J101+J102-J103+J104-J105-J106</f>
        <v>-3324.7974189999973</v>
      </c>
      <c r="K107" s="1322">
        <f t="shared" si="70"/>
        <v>-6304.0607728299274</v>
      </c>
      <c r="L107" s="1322">
        <f t="shared" si="70"/>
        <v>-5514.7884476244608</v>
      </c>
      <c r="M107" s="1322">
        <f t="shared" si="70"/>
        <v>-5145.7198853417858</v>
      </c>
      <c r="N107" s="1322">
        <f t="shared" si="70"/>
        <v>-5231.8281441620456</v>
      </c>
      <c r="O107" s="1322">
        <f t="shared" si="70"/>
        <v>-5725.2079105157691</v>
      </c>
    </row>
    <row r="108" spans="1:15">
      <c r="A108" s="1214" t="s">
        <v>1102</v>
      </c>
      <c r="B108" s="1242">
        <f>+B107+B98</f>
        <v>-603.95100000000184</v>
      </c>
      <c r="C108" s="1242">
        <f t="shared" ref="C108:I108" si="71">+C107+C98</f>
        <v>4223.2110000000002</v>
      </c>
      <c r="D108" s="1242">
        <f t="shared" si="71"/>
        <v>-1546.8580000000002</v>
      </c>
      <c r="E108" s="1242">
        <f t="shared" si="71"/>
        <v>2393.6780000000072</v>
      </c>
      <c r="F108" s="1242">
        <f t="shared" si="71"/>
        <v>-3659.522999999992</v>
      </c>
      <c r="G108" s="1242">
        <f t="shared" si="71"/>
        <v>123.65999999999622</v>
      </c>
      <c r="H108" s="1242">
        <f t="shared" si="71"/>
        <v>4071.3770000000168</v>
      </c>
      <c r="I108" s="1242">
        <f t="shared" si="71"/>
        <v>-4338.620000000019</v>
      </c>
      <c r="J108" s="1307">
        <f t="shared" ref="J108:O108" ca="1" si="72">+J107+J98</f>
        <v>1968.0593935157372</v>
      </c>
      <c r="K108" s="1307">
        <f t="shared" ca="1" si="72"/>
        <v>2019.5645175770642</v>
      </c>
      <c r="L108" s="1307">
        <f t="shared" ca="1" si="72"/>
        <v>2775.5878698031256</v>
      </c>
      <c r="M108" s="1307">
        <f t="shared" ca="1" si="72"/>
        <v>2852.8094905056068</v>
      </c>
      <c r="N108" s="1307">
        <f t="shared" ca="1" si="72"/>
        <v>3292.3992298339981</v>
      </c>
      <c r="O108" s="1307">
        <f t="shared" ca="1" si="72"/>
        <v>3802.0472367089742</v>
      </c>
    </row>
    <row r="109" spans="1:15">
      <c r="A109" s="1214" t="s">
        <v>1360</v>
      </c>
      <c r="B109" s="1242">
        <f>+'[6]Anexo 1 - Balance'!B8</f>
        <v>6830.6859999999997</v>
      </c>
      <c r="C109" s="1229">
        <f>+B110</f>
        <v>6226.7349999999979</v>
      </c>
      <c r="D109" s="1229">
        <f t="shared" ref="D109:O109" si="73">+C110</f>
        <v>10449.945999999998</v>
      </c>
      <c r="E109" s="1229">
        <f t="shared" si="73"/>
        <v>8903.0879999999979</v>
      </c>
      <c r="F109" s="1229">
        <f t="shared" si="73"/>
        <v>11296.766000000005</v>
      </c>
      <c r="G109" s="1229">
        <f t="shared" si="73"/>
        <v>7637.2430000000131</v>
      </c>
      <c r="H109" s="1229">
        <f t="shared" si="73"/>
        <v>7760.9030000000093</v>
      </c>
      <c r="I109" s="1229">
        <f t="shared" si="73"/>
        <v>11832.280000000026</v>
      </c>
      <c r="J109" s="1307">
        <f t="shared" si="73"/>
        <v>7493.6600000000071</v>
      </c>
      <c r="K109" s="1307">
        <f t="shared" ca="1" si="73"/>
        <v>9461.7193935157447</v>
      </c>
      <c r="L109" s="1307">
        <f t="shared" ca="1" si="73"/>
        <v>11481.283911092809</v>
      </c>
      <c r="M109" s="1307">
        <f t="shared" ca="1" si="73"/>
        <v>14256.871780895934</v>
      </c>
      <c r="N109" s="1307">
        <f t="shared" ca="1" si="73"/>
        <v>17109.68127140154</v>
      </c>
      <c r="O109" s="1307">
        <f t="shared" ca="1" si="73"/>
        <v>20402.080501235538</v>
      </c>
    </row>
    <row r="110" spans="1:15">
      <c r="A110" s="1270" t="s">
        <v>373</v>
      </c>
      <c r="B110" s="1320">
        <f>+B109+B108</f>
        <v>6226.7349999999979</v>
      </c>
      <c r="C110" s="1320">
        <f t="shared" ref="C110:I110" si="74">+C109+C108</f>
        <v>10449.945999999998</v>
      </c>
      <c r="D110" s="1320">
        <f t="shared" si="74"/>
        <v>8903.0879999999979</v>
      </c>
      <c r="E110" s="1320">
        <f t="shared" si="74"/>
        <v>11296.766000000005</v>
      </c>
      <c r="F110" s="1320">
        <f t="shared" si="74"/>
        <v>7637.2430000000131</v>
      </c>
      <c r="G110" s="1320">
        <f t="shared" si="74"/>
        <v>7760.9030000000093</v>
      </c>
      <c r="H110" s="1320">
        <f t="shared" si="74"/>
        <v>11832.280000000026</v>
      </c>
      <c r="I110" s="1320">
        <f t="shared" si="74"/>
        <v>7493.6600000000071</v>
      </c>
      <c r="J110" s="1322">
        <f t="shared" ref="J110:O110" ca="1" si="75">+J109+J108</f>
        <v>9461.7193935157447</v>
      </c>
      <c r="K110" s="1322">
        <f t="shared" ca="1" si="75"/>
        <v>11481.283911092809</v>
      </c>
      <c r="L110" s="1322">
        <f t="shared" ca="1" si="75"/>
        <v>14256.871780895934</v>
      </c>
      <c r="M110" s="1322">
        <f t="shared" ca="1" si="75"/>
        <v>17109.68127140154</v>
      </c>
      <c r="N110" s="1322">
        <f t="shared" ca="1" si="75"/>
        <v>20402.080501235538</v>
      </c>
      <c r="O110" s="1322">
        <f t="shared" ca="1" si="75"/>
        <v>24204.127737944513</v>
      </c>
    </row>
    <row r="111" spans="1:15">
      <c r="B111" s="1321">
        <f>+B110-B36</f>
        <v>0</v>
      </c>
      <c r="C111" s="1321">
        <f t="shared" ref="C111:I111" si="76">+C110-C36</f>
        <v>0</v>
      </c>
      <c r="D111" s="1321">
        <f t="shared" si="76"/>
        <v>0</v>
      </c>
      <c r="E111" s="1321">
        <f t="shared" si="76"/>
        <v>0</v>
      </c>
      <c r="F111" s="1321">
        <f t="shared" si="76"/>
        <v>1.2732925824820995E-11</v>
      </c>
      <c r="G111" s="1321">
        <f t="shared" si="76"/>
        <v>9.0949470177292824E-12</v>
      </c>
      <c r="H111" s="1321">
        <f t="shared" si="76"/>
        <v>0.28000000002612069</v>
      </c>
      <c r="I111" s="1321">
        <f t="shared" si="76"/>
        <v>-4.9999999928331818E-3</v>
      </c>
      <c r="J111" s="1321">
        <f t="shared" ref="J111:O111" ca="1" si="77">+J110-J36</f>
        <v>0</v>
      </c>
      <c r="K111" s="1321">
        <f t="shared" ca="1" si="77"/>
        <v>0</v>
      </c>
      <c r="L111" s="1321">
        <f t="shared" ca="1" si="77"/>
        <v>0</v>
      </c>
      <c r="M111" s="1321">
        <f t="shared" ca="1" si="77"/>
        <v>0</v>
      </c>
      <c r="N111" s="1321">
        <f t="shared" ca="1" si="77"/>
        <v>0</v>
      </c>
      <c r="O111" s="1321">
        <f t="shared" ca="1" si="77"/>
        <v>0</v>
      </c>
    </row>
  </sheetData>
  <pageMargins left="0.7" right="0.7" top="0.75" bottom="0.75" header="0.3" footer="0.3"/>
  <pageSetup orientation="portrait" r:id="rId1"/>
  <ignoredErrors>
    <ignoredError sqref="B16 C16:I16 J16:O16 J44:O44 J46:O46 J76 K76:O76" formula="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23"/>
  <sheetViews>
    <sheetView showGridLines="0" zoomScale="80" zoomScaleNormal="80" workbookViewId="0">
      <selection activeCell="L23" sqref="L23"/>
    </sheetView>
  </sheetViews>
  <sheetFormatPr baseColWidth="10" defaultRowHeight="15"/>
  <cols>
    <col min="1" max="1" width="3.85546875" customWidth="1"/>
    <col min="2" max="2" width="36.5703125" bestFit="1" customWidth="1"/>
    <col min="3" max="9" width="0" hidden="1" customWidth="1"/>
    <col min="11" max="16" width="11.7109375" bestFit="1" customWidth="1"/>
  </cols>
  <sheetData>
    <row r="1" spans="2:16">
      <c r="B1" s="1364"/>
      <c r="C1" s="1340">
        <f>+'Estados Financieros (P)'!B6</f>
        <v>2007</v>
      </c>
      <c r="D1" s="1340">
        <f>+'Estados Financieros (P)'!C6</f>
        <v>2008</v>
      </c>
      <c r="E1" s="1340">
        <f>+'Estados Financieros (P)'!D6</f>
        <v>2009</v>
      </c>
      <c r="F1" s="1340">
        <f>+'Estados Financieros (P)'!E6</f>
        <v>2010</v>
      </c>
      <c r="G1" s="1340">
        <f>+'Estados Financieros (P)'!F6</f>
        <v>2011</v>
      </c>
      <c r="H1" s="1340">
        <f>+'Estados Financieros (P)'!G6</f>
        <v>2012</v>
      </c>
      <c r="I1" s="1340">
        <f>+'Estados Financieros (P)'!H6</f>
        <v>2013</v>
      </c>
      <c r="J1" s="1340">
        <f>+'Estados Financieros (P)'!I6</f>
        <v>2014</v>
      </c>
      <c r="K1" s="1365">
        <f>+'Estados Financieros (P)'!J6</f>
        <v>2015</v>
      </c>
      <c r="L1" s="1365">
        <f>+'Estados Financieros (P)'!K6</f>
        <v>2016</v>
      </c>
      <c r="M1" s="1365">
        <f>+'Estados Financieros (P)'!L6</f>
        <v>2017</v>
      </c>
      <c r="N1" s="1365">
        <f>+'Estados Financieros (P)'!M6</f>
        <v>2018</v>
      </c>
      <c r="O1" s="1365">
        <f>+'Estados Financieros (P)'!N6</f>
        <v>2019</v>
      </c>
      <c r="P1" s="1365">
        <f>+'Estados Financieros (P)'!O6</f>
        <v>2020</v>
      </c>
    </row>
    <row r="2" spans="2:16" ht="24.75" hidden="1" customHeight="1">
      <c r="B2" s="411"/>
      <c r="C2" s="126"/>
      <c r="D2" s="126"/>
      <c r="E2" s="126"/>
      <c r="F2" s="126"/>
      <c r="G2" s="126"/>
      <c r="H2" s="126"/>
      <c r="I2" s="126"/>
      <c r="J2" s="126"/>
      <c r="K2" s="1341">
        <v>1</v>
      </c>
      <c r="L2" s="1341">
        <v>2</v>
      </c>
      <c r="M2" s="1341">
        <v>3</v>
      </c>
      <c r="N2" s="1341">
        <v>4</v>
      </c>
      <c r="O2" s="1341">
        <v>5</v>
      </c>
      <c r="P2" s="1341">
        <v>6</v>
      </c>
    </row>
    <row r="3" spans="2:16" s="64" customFormat="1" ht="14.25" customHeight="1">
      <c r="B3" s="411" t="s">
        <v>65</v>
      </c>
      <c r="C3" s="1268"/>
      <c r="D3" s="126"/>
      <c r="E3" s="126"/>
      <c r="F3" s="126"/>
      <c r="G3" s="126"/>
      <c r="H3" s="126"/>
      <c r="I3" s="126"/>
      <c r="J3" s="1268">
        <f>+'Estados Financieros (P)'!I20</f>
        <v>12903.96</v>
      </c>
      <c r="K3" s="1346">
        <f>+'Estados Financieros (P)'!J20</f>
        <v>10119.773776044136</v>
      </c>
      <c r="L3" s="1346">
        <f>+'Estados Financieros (P)'!K20</f>
        <v>8724.9246768608155</v>
      </c>
      <c r="M3" s="1346">
        <f>+'Estados Financieros (P)'!L20</f>
        <v>8149.8319360392379</v>
      </c>
      <c r="N3" s="1346">
        <f>+'Estados Financieros (P)'!M20</f>
        <v>8184.0668817486221</v>
      </c>
      <c r="O3" s="1346">
        <f>+'Estados Financieros (P)'!N20</f>
        <v>8785.1441623613591</v>
      </c>
      <c r="P3" s="1347">
        <f>+'Estados Financieros (P)'!O20</f>
        <v>10044.70452606793</v>
      </c>
    </row>
    <row r="4" spans="2:16" s="64" customFormat="1" ht="14.25" customHeight="1">
      <c r="B4" s="411" t="s">
        <v>101</v>
      </c>
      <c r="C4" s="126"/>
      <c r="D4" s="126"/>
      <c r="E4" s="126"/>
      <c r="F4" s="126"/>
      <c r="G4" s="126"/>
      <c r="H4" s="126"/>
      <c r="I4" s="126"/>
      <c r="J4" s="1268">
        <f>+'Estados Financieros (P)'!I92</f>
        <v>193.89</v>
      </c>
      <c r="K4" s="1346">
        <f>+'Estados Financieros (P)'!J92</f>
        <v>202.14114999999998</v>
      </c>
      <c r="L4" s="1346">
        <f>+'Estados Financieros (P)'!K92</f>
        <v>162.96572880479582</v>
      </c>
      <c r="M4" s="1346">
        <f>+'Estados Financieros (P)'!L92</f>
        <v>152.02899265040796</v>
      </c>
      <c r="N4" s="1346">
        <f>+'Estados Financieros (P)'!M92</f>
        <v>174.78805509434542</v>
      </c>
      <c r="O4" s="1346">
        <f>+'Estados Financieros (P)'!N92</f>
        <v>237.38005596165357</v>
      </c>
      <c r="P4" s="1347">
        <f>+'Estados Financieros (P)'!O92</f>
        <v>346.25989872358144</v>
      </c>
    </row>
    <row r="5" spans="2:16" s="64" customFormat="1" ht="14.25" customHeight="1">
      <c r="B5" s="411" t="s">
        <v>102</v>
      </c>
      <c r="C5" s="126"/>
      <c r="D5" s="126"/>
      <c r="E5" s="126"/>
      <c r="F5" s="126"/>
      <c r="G5" s="126"/>
      <c r="H5" s="126"/>
      <c r="I5" s="126"/>
      <c r="J5" s="1268">
        <f>+'Estados Financieros (P)'!I93</f>
        <v>114.69</v>
      </c>
      <c r="K5" s="1346">
        <f>+'Estados Financieros (P)'!J93</f>
        <v>91.992485180868172</v>
      </c>
      <c r="L5" s="1346">
        <f>+'Estados Financieros (P)'!K93</f>
        <v>73.76516910564375</v>
      </c>
      <c r="M5" s="1346">
        <f>+'Estados Financieros (P)'!L93</f>
        <v>58.558635467004557</v>
      </c>
      <c r="N5" s="1346">
        <f>+'Estados Financieros (P)'!M93</f>
        <v>45.652815694256901</v>
      </c>
      <c r="O5" s="1346">
        <f>+'Estados Financieros (P)'!N93</f>
        <v>34.481958098826425</v>
      </c>
      <c r="P5" s="1347">
        <f>+'Estados Financieros (P)'!O93</f>
        <v>24.592678093602004</v>
      </c>
    </row>
    <row r="6" spans="2:16">
      <c r="B6" s="1349" t="s">
        <v>5</v>
      </c>
      <c r="C6" s="1230">
        <f>+'Estados Financieros (P)'!B31</f>
        <v>15167.788</v>
      </c>
      <c r="D6" s="1230">
        <f>+'Estados Financieros (P)'!C31</f>
        <v>21161.253000000004</v>
      </c>
      <c r="E6" s="1230">
        <f>+'Estados Financieros (P)'!D31</f>
        <v>20705.576000000001</v>
      </c>
      <c r="F6" s="1230">
        <f>+'Estados Financieros (P)'!E31</f>
        <v>24154.934999999998</v>
      </c>
      <c r="G6" s="1230">
        <f>+'Estados Financieros (P)'!F31</f>
        <v>19909.325999999997</v>
      </c>
      <c r="H6" s="1230">
        <f>+'Estados Financieros (P)'!G31</f>
        <v>22452.508999999998</v>
      </c>
      <c r="I6" s="1230">
        <f>+'Estados Financieros (P)'!H31</f>
        <v>18457.900000000009</v>
      </c>
      <c r="J6" s="1230">
        <f>+'Estados Financieros (P)'!I31</f>
        <v>13212.540000000003</v>
      </c>
      <c r="K6" s="1451">
        <f>+'Estados Financieros (P)'!J31</f>
        <v>10413.907411225004</v>
      </c>
      <c r="L6" s="1451">
        <f>+'Estados Financieros (P)'!K31</f>
        <v>8961.6555747712555</v>
      </c>
      <c r="M6" s="1451">
        <f>+'Estados Financieros (P)'!L31</f>
        <v>8360.4195641566512</v>
      </c>
      <c r="N6" s="1451">
        <f>+'Estados Financieros (P)'!M31</f>
        <v>8404.5077525372235</v>
      </c>
      <c r="O6" s="1451">
        <f>+'Estados Financieros (P)'!N31</f>
        <v>9057.006176421839</v>
      </c>
      <c r="P6" s="1452">
        <f>+'Estados Financieros (P)'!O31</f>
        <v>10415.557102885114</v>
      </c>
    </row>
    <row r="7" spans="2:16">
      <c r="B7" s="1342" t="s">
        <v>1391</v>
      </c>
      <c r="C7" s="1268">
        <f>-'Estados Financieros (P)'!B28</f>
        <v>-7721.2330000000002</v>
      </c>
      <c r="D7" s="1268">
        <f>-'Estados Financieros (P)'!C28</f>
        <v>-11405.083000000001</v>
      </c>
      <c r="E7" s="1268">
        <f>-'Estados Financieros (P)'!D28</f>
        <v>-8982.3680000000004</v>
      </c>
      <c r="F7" s="1268">
        <f>-'Estados Financieros (P)'!E28</f>
        <v>-9483.6110000000008</v>
      </c>
      <c r="G7" s="1268">
        <f>-'Estados Financieros (P)'!F28</f>
        <v>-10511.474</v>
      </c>
      <c r="H7" s="1268">
        <f>-'Estados Financieros (P)'!G28</f>
        <v>-8978.643</v>
      </c>
      <c r="I7" s="1268">
        <f>-'Estados Financieros (P)'!H28</f>
        <v>-9345.31</v>
      </c>
      <c r="J7" s="1268">
        <f>-'Estados Financieros (P)'!I28</f>
        <v>-9339.66</v>
      </c>
      <c r="K7" s="1343">
        <f>-'Estados Financieros (P)'!J28</f>
        <v>-3440.7230838550063</v>
      </c>
      <c r="L7" s="1343">
        <f>-'Estados Financieros (P)'!K28</f>
        <v>-2966.4743901326774</v>
      </c>
      <c r="M7" s="1343">
        <f>-'Estados Financieros (P)'!L28</f>
        <v>-2770.942858253341</v>
      </c>
      <c r="N7" s="1343">
        <f>-'Estados Financieros (P)'!M28</f>
        <v>-2782.5827397945318</v>
      </c>
      <c r="O7" s="1343">
        <f>-'Estados Financieros (P)'!N28</f>
        <v>-2986.9490152028625</v>
      </c>
      <c r="P7" s="1344">
        <f>-'Estados Financieros (P)'!O28</f>
        <v>-3415.1995388630962</v>
      </c>
    </row>
    <row r="8" spans="2:16">
      <c r="B8" s="1345" t="s">
        <v>1392</v>
      </c>
      <c r="C8" s="1269">
        <f>+Supuestos!B44</f>
        <v>755.76799999999639</v>
      </c>
      <c r="D8" s="1269">
        <f>+Supuestos!C44</f>
        <v>-13712.713999999993</v>
      </c>
      <c r="E8" s="1269">
        <f>+Supuestos!D44</f>
        <v>44026.83</v>
      </c>
      <c r="F8" s="1269">
        <f>+Supuestos!E44</f>
        <v>12501.376999999993</v>
      </c>
      <c r="G8" s="1269">
        <f>+Supuestos!F44</f>
        <v>-4139.3759999999966</v>
      </c>
      <c r="H8" s="1269">
        <f>+Supuestos!G44</f>
        <v>-15902.147000000004</v>
      </c>
      <c r="I8" s="1269">
        <f>+Supuestos!H44</f>
        <v>8719.5620000000054</v>
      </c>
      <c r="J8" s="1269">
        <f>+Supuestos!I44</f>
        <v>-6143.6680000000051</v>
      </c>
      <c r="K8" s="1346">
        <f ca="1">+Supuestos!J44</f>
        <v>-2411.8802954799175</v>
      </c>
      <c r="L8" s="1346">
        <f ca="1">+Supuestos!K44</f>
        <v>2071.248467353973</v>
      </c>
      <c r="M8" s="1346">
        <f ca="1">+Supuestos!L44</f>
        <v>2944.3638619241246</v>
      </c>
      <c r="N8" s="1346">
        <f ca="1">+Supuestos!M44</f>
        <v>3152.7246206936397</v>
      </c>
      <c r="O8" s="1346">
        <f ca="1">+Supuestos!N44</f>
        <v>3794.8407734761277</v>
      </c>
      <c r="P8" s="1347">
        <f ca="1">+Supuestos!O44</f>
        <v>4468.19384753138</v>
      </c>
    </row>
    <row r="9" spans="2:16">
      <c r="B9" s="1348" t="s">
        <v>1393</v>
      </c>
      <c r="C9" s="1268">
        <f>+'Estados Financieros (P)'!B96</f>
        <v>-272.99000000000069</v>
      </c>
      <c r="D9" s="1269">
        <f>+'Estados Financieros (P)'!C96</f>
        <v>1017.1030000000001</v>
      </c>
      <c r="E9" s="1269">
        <f>+'Estados Financieros (P)'!D96</f>
        <v>133.125</v>
      </c>
      <c r="F9" s="1269">
        <f>+'Estados Financieros (P)'!E96</f>
        <v>496.15500000000065</v>
      </c>
      <c r="G9" s="1269">
        <f>+'Estados Financieros (P)'!F96</f>
        <v>504.54599999999982</v>
      </c>
      <c r="H9" s="1269">
        <f>+'Estados Financieros (P)'!G96</f>
        <v>254.33599999999979</v>
      </c>
      <c r="I9" s="1269">
        <f>+'Estados Financieros (P)'!H96</f>
        <v>-722.4369999999999</v>
      </c>
      <c r="J9" s="1269">
        <f>+'Estados Financieros (P)'!I96</f>
        <v>1061.7080000000001</v>
      </c>
      <c r="K9" s="1346">
        <f>+'Estados Financieros (P)'!J96</f>
        <v>731.55278062565321</v>
      </c>
      <c r="L9" s="1346">
        <f>+'Estados Financieros (P)'!K96</f>
        <v>257.19563841444233</v>
      </c>
      <c r="M9" s="1346">
        <f>+'Estados Financieros (P)'!L96</f>
        <v>-243.46425039984797</v>
      </c>
      <c r="N9" s="1346">
        <f>+'Estados Financieros (P)'!M96</f>
        <v>-776.12025758893924</v>
      </c>
      <c r="O9" s="1346">
        <f>+'Estados Financieros (P)'!N96</f>
        <v>-1340.6705606990608</v>
      </c>
      <c r="P9" s="1347">
        <f>+'Estados Financieros (P)'!O96</f>
        <v>-1941.2962643286546</v>
      </c>
    </row>
    <row r="10" spans="2:16">
      <c r="B10" s="1349" t="s">
        <v>395</v>
      </c>
      <c r="C10" s="1350">
        <f>SUM(C6:C9)</f>
        <v>7929.332999999996</v>
      </c>
      <c r="D10" s="1351">
        <f t="shared" ref="D10:P10" si="0">SUM(D6:D9)</f>
        <v>-2939.4409999999889</v>
      </c>
      <c r="E10" s="1351">
        <f t="shared" si="0"/>
        <v>55883.163</v>
      </c>
      <c r="F10" s="1351">
        <f t="shared" si="0"/>
        <v>27668.855999999992</v>
      </c>
      <c r="G10" s="1351">
        <f t="shared" si="0"/>
        <v>5763.0220000000008</v>
      </c>
      <c r="H10" s="1351">
        <f t="shared" si="0"/>
        <v>-2173.9450000000065</v>
      </c>
      <c r="I10" s="1351">
        <f t="shared" si="0"/>
        <v>17109.715000000018</v>
      </c>
      <c r="J10" s="1351">
        <f t="shared" si="0"/>
        <v>-1209.0800000000022</v>
      </c>
      <c r="K10" s="1352">
        <f t="shared" ca="1" si="0"/>
        <v>5292.8568125157335</v>
      </c>
      <c r="L10" s="1352">
        <f t="shared" ca="1" si="0"/>
        <v>8323.6252904069934</v>
      </c>
      <c r="M10" s="1352">
        <f t="shared" ca="1" si="0"/>
        <v>8290.3763174275882</v>
      </c>
      <c r="N10" s="1352">
        <f t="shared" ca="1" si="0"/>
        <v>7998.5293758473917</v>
      </c>
      <c r="O10" s="1352">
        <f t="shared" ca="1" si="0"/>
        <v>8524.2273739960438</v>
      </c>
      <c r="P10" s="1353">
        <f t="shared" ca="1" si="0"/>
        <v>9527.2551472247433</v>
      </c>
    </row>
    <row r="11" spans="2:16">
      <c r="B11" s="1349" t="s">
        <v>1394</v>
      </c>
      <c r="C11" s="126"/>
      <c r="D11" s="126"/>
      <c r="E11" s="126"/>
      <c r="F11" s="126"/>
      <c r="G11" s="126"/>
      <c r="H11" s="126"/>
      <c r="I11" s="126"/>
      <c r="J11" s="126"/>
      <c r="K11" s="1341"/>
      <c r="L11" s="1341"/>
      <c r="M11" s="1341"/>
      <c r="N11" s="1341"/>
      <c r="O11" s="1341"/>
      <c r="P11" s="1354">
        <f ca="1">+P10*(1+$J$15)/(P13-$J$15)</f>
        <v>221496.67492143917</v>
      </c>
    </row>
    <row r="12" spans="2:16">
      <c r="B12" s="1349" t="s">
        <v>1395</v>
      </c>
      <c r="C12" s="126"/>
      <c r="D12" s="126"/>
      <c r="E12" s="126"/>
      <c r="F12" s="126"/>
      <c r="G12" s="126"/>
      <c r="H12" s="126"/>
      <c r="I12" s="126"/>
      <c r="J12" s="126"/>
      <c r="K12" s="1355">
        <f ca="1">-PV(K13,K2,,K10)</f>
        <v>4926.779933929929</v>
      </c>
      <c r="L12" s="1355">
        <f ca="1">-PV(L13,L2,,L10)</f>
        <v>7212.0471704803622</v>
      </c>
      <c r="M12" s="1355">
        <f ca="1">-PV(M13,M2,,M10)</f>
        <v>6686.4145792661493</v>
      </c>
      <c r="N12" s="1355">
        <f ca="1">-PV(N13,N2,,N10)</f>
        <v>6004.8507720795069</v>
      </c>
      <c r="O12" s="1355">
        <f ca="1">-PV(O13,O2,,O10)</f>
        <v>5956.897389244682</v>
      </c>
      <c r="P12" s="1356">
        <f ca="1">-PV(P13,P2,,SUM(P10:P11))</f>
        <v>150277.8870173195</v>
      </c>
    </row>
    <row r="13" spans="2:16">
      <c r="B13" s="1342" t="s">
        <v>431</v>
      </c>
      <c r="C13" s="126"/>
      <c r="D13" s="126"/>
      <c r="E13" s="126"/>
      <c r="F13" s="126"/>
      <c r="G13" s="126"/>
      <c r="H13" s="126"/>
      <c r="I13" s="126"/>
      <c r="J13" s="538">
        <f>+WACC!B11</f>
        <v>7.4303476813464595E-2</v>
      </c>
      <c r="K13" s="1357">
        <f t="shared" ref="K13:P13" si="1">+J13</f>
        <v>7.4303476813464595E-2</v>
      </c>
      <c r="L13" s="1357">
        <f t="shared" si="1"/>
        <v>7.4303476813464595E-2</v>
      </c>
      <c r="M13" s="1357">
        <f t="shared" si="1"/>
        <v>7.4303476813464595E-2</v>
      </c>
      <c r="N13" s="1357">
        <f t="shared" si="1"/>
        <v>7.4303476813464595E-2</v>
      </c>
      <c r="O13" s="1357">
        <f t="shared" si="1"/>
        <v>7.4303476813464595E-2</v>
      </c>
      <c r="P13" s="1358">
        <f t="shared" si="1"/>
        <v>7.4303476813464595E-2</v>
      </c>
    </row>
    <row r="14" spans="2:16" s="64" customFormat="1">
      <c r="B14" s="1342" t="s">
        <v>1438</v>
      </c>
      <c r="C14" s="126"/>
      <c r="D14" s="126"/>
      <c r="E14" s="126"/>
      <c r="F14" s="126"/>
      <c r="G14" s="126"/>
      <c r="H14" s="126"/>
      <c r="I14" s="126"/>
      <c r="J14" s="538"/>
      <c r="K14" s="1357">
        <f>+((1+K13)^(1))-1</f>
        <v>7.4303476813464497E-2</v>
      </c>
      <c r="L14" s="1357">
        <f>+((1+L13)^(2))-1</f>
        <v>0.15412796029349796</v>
      </c>
      <c r="M14" s="1357">
        <f>+((1+M13)^(3))-1</f>
        <v>0.239883680430937</v>
      </c>
      <c r="N14" s="1357">
        <f>+((1+N13)^(4))-1</f>
        <v>0.33201134873122995</v>
      </c>
      <c r="O14" s="1357">
        <f>+((1+O13)^(5))-1</f>
        <v>0.4309844230969524</v>
      </c>
      <c r="P14" s="1358">
        <f>+((1+P13)^(6))-1</f>
        <v>0.53731154099896572</v>
      </c>
    </row>
    <row r="15" spans="2:16">
      <c r="B15" s="1342" t="s">
        <v>1396</v>
      </c>
      <c r="D15" s="126"/>
      <c r="E15" s="126"/>
      <c r="F15" s="126"/>
      <c r="G15" s="126"/>
      <c r="H15" s="126"/>
      <c r="I15" s="126"/>
      <c r="J15" s="1359">
        <v>0.03</v>
      </c>
      <c r="K15" s="126"/>
      <c r="L15" s="126"/>
      <c r="M15" s="126"/>
      <c r="N15" s="126"/>
      <c r="O15" s="126"/>
      <c r="P15" s="415"/>
    </row>
    <row r="16" spans="2:16" ht="15.75" thickBot="1">
      <c r="B16" s="422" t="s">
        <v>1397</v>
      </c>
      <c r="D16" s="426"/>
      <c r="E16" s="426"/>
      <c r="F16" s="426"/>
      <c r="G16" s="426"/>
      <c r="H16" s="426"/>
      <c r="I16" s="426"/>
      <c r="J16" s="1360">
        <f ca="1">+SUM(K12:P12)</f>
        <v>181064.87686232012</v>
      </c>
      <c r="K16" s="1361"/>
      <c r="L16" s="1361"/>
      <c r="M16" s="1362"/>
      <c r="N16" s="1361"/>
      <c r="O16" s="1361"/>
      <c r="P16" s="1363"/>
    </row>
    <row r="18" spans="2:17" ht="15.75" thickBot="1">
      <c r="L18" s="1240"/>
      <c r="M18" s="1240"/>
      <c r="N18" s="1240"/>
      <c r="O18" s="1240"/>
      <c r="P18" s="1240"/>
      <c r="Q18" s="1240"/>
    </row>
    <row r="19" spans="2:17">
      <c r="B19" s="396" t="s">
        <v>1439</v>
      </c>
      <c r="C19" s="400"/>
      <c r="D19" s="400"/>
      <c r="E19" s="400"/>
      <c r="F19" s="400"/>
      <c r="G19" s="400"/>
      <c r="H19" s="400"/>
      <c r="I19" s="400"/>
      <c r="J19" s="1453">
        <f>+'Estados Financieros (P)'!I110</f>
        <v>7493.6600000000071</v>
      </c>
    </row>
    <row r="20" spans="2:17">
      <c r="B20" s="411" t="s">
        <v>1440</v>
      </c>
      <c r="C20" s="126"/>
      <c r="D20" s="126"/>
      <c r="E20" s="126"/>
      <c r="F20" s="126"/>
      <c r="G20" s="126"/>
      <c r="H20" s="126"/>
      <c r="I20" s="126"/>
      <c r="J20" s="1278">
        <f>+('Estados Financieros (P)'!I53)</f>
        <v>0</v>
      </c>
      <c r="L20" s="757"/>
      <c r="M20" s="757"/>
      <c r="N20" s="757"/>
      <c r="O20" s="757"/>
      <c r="P20" s="757"/>
      <c r="Q20" s="757"/>
    </row>
    <row r="21" spans="2:17" ht="15.75" thickBot="1">
      <c r="B21" s="1454" t="s">
        <v>1441</v>
      </c>
      <c r="C21" s="426"/>
      <c r="D21" s="426"/>
      <c r="E21" s="426"/>
      <c r="F21" s="426"/>
      <c r="G21" s="426"/>
      <c r="H21" s="426"/>
      <c r="I21" s="426"/>
      <c r="J21" s="1455">
        <f ca="1">+J16+J19-J20</f>
        <v>188558.53686232012</v>
      </c>
      <c r="L21" s="490">
        <f ca="1">+J21/J6</f>
        <v>14.271180020065792</v>
      </c>
      <c r="M21" s="1472"/>
    </row>
    <row r="23" spans="2:17">
      <c r="K23" s="752"/>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3"/>
  <sheetViews>
    <sheetView showGridLines="0" topLeftCell="B1" zoomScale="80" zoomScaleNormal="80" workbookViewId="0">
      <selection activeCell="D28" sqref="D28"/>
    </sheetView>
  </sheetViews>
  <sheetFormatPr baseColWidth="10" defaultRowHeight="15"/>
  <cols>
    <col min="2" max="2" width="32" bestFit="1" customWidth="1"/>
    <col min="3" max="3" width="27.42578125" bestFit="1" customWidth="1"/>
    <col min="4" max="4" width="17.7109375" bestFit="1" customWidth="1"/>
    <col min="6" max="6" width="31.7109375" customWidth="1"/>
    <col min="7" max="7" width="16.7109375" bestFit="1" customWidth="1"/>
    <col min="8" max="8" width="15.140625" bestFit="1" customWidth="1"/>
    <col min="9" max="9" width="15.85546875" bestFit="1" customWidth="1"/>
  </cols>
  <sheetData>
    <row r="2" spans="2:9" ht="15.75" thickBot="1"/>
    <row r="3" spans="2:9">
      <c r="B3" s="1381" t="s">
        <v>1412</v>
      </c>
      <c r="C3" s="1403" t="s">
        <v>1419</v>
      </c>
      <c r="D3" s="1387" t="s">
        <v>1420</v>
      </c>
      <c r="E3" s="1391" t="s">
        <v>1421</v>
      </c>
      <c r="F3" s="1394" t="s">
        <v>1422</v>
      </c>
      <c r="G3" s="1398" t="s">
        <v>1423</v>
      </c>
    </row>
    <row r="4" spans="2:9">
      <c r="B4" s="1382" t="s">
        <v>100</v>
      </c>
      <c r="C4" s="1483">
        <f>+'Estados Financieros (P)'!I20</f>
        <v>12903.96</v>
      </c>
      <c r="D4" s="1388">
        <f>+[7]ER!$B$13/1000</f>
        <v>1274.5070000000001</v>
      </c>
      <c r="E4" s="1392">
        <f>+[7]PYG!$B$13/1000</f>
        <v>440.71499999999997</v>
      </c>
      <c r="F4" s="1395">
        <f>+[7]PG!$B$13/1000</f>
        <v>1696.211</v>
      </c>
      <c r="G4" s="1399">
        <f>+AVERAGE(C4:F4)</f>
        <v>4078.8482499999996</v>
      </c>
    </row>
    <row r="5" spans="2:9">
      <c r="B5" s="1382" t="s">
        <v>5</v>
      </c>
      <c r="C5" s="1483">
        <f>+'Estados Financieros (P)'!I31</f>
        <v>13212.540000000003</v>
      </c>
      <c r="D5" s="1388">
        <f>+([7]ER!$B$13+[7]FC!$B$11+[7]FC!$B$12+[7]FC!$B$13)/1000</f>
        <v>2401.1120000000001</v>
      </c>
      <c r="E5" s="1392">
        <f>+([7]PYG!$B$13+[7]CF!$B$11+[7]CF!$B$12+[7]CF!$B$13)/1000</f>
        <v>2770.6190000000001</v>
      </c>
      <c r="F5" s="1395">
        <f>+([7]PG!$B$13+[7]FCD!$B$11+[7]FCD!$B$12+[7]FCD!$B$13)/1000</f>
        <v>1842.5060000000001</v>
      </c>
      <c r="G5" s="1399">
        <f t="shared" ref="G5:G11" si="0">+AVERAGE(C5:F5)</f>
        <v>5056.6942500000005</v>
      </c>
    </row>
    <row r="6" spans="2:9">
      <c r="B6" s="1382" t="s">
        <v>1413</v>
      </c>
      <c r="C6" s="1484">
        <f>+'Estados Financieros (P)'!I29/'Estados Financieros (P)'!I7</f>
        <v>0.15027600035428926</v>
      </c>
      <c r="D6" s="1389">
        <f>+[7]ER!$B$19/[7]ER!$B$8</f>
        <v>1.0523711571840347E-2</v>
      </c>
      <c r="E6" s="1138">
        <f>+[7]PYG!$B$19/[7]PYG!$B$8</f>
        <v>9.2946386924048542E-4</v>
      </c>
      <c r="F6" s="1396">
        <f>+[7]PG!$B$19/[7]PG!$B$8</f>
        <v>4.4728947515922914E-2</v>
      </c>
      <c r="G6" s="1400">
        <f t="shared" si="0"/>
        <v>5.1614530827823246E-2</v>
      </c>
    </row>
    <row r="7" spans="2:9">
      <c r="B7" s="1382" t="s">
        <v>448</v>
      </c>
      <c r="C7" s="1484">
        <f>+'Estados Financieros (P)'!I29/'Estados Financieros (P)'!I50</f>
        <v>0.15449890777383449</v>
      </c>
      <c r="D7" s="1389">
        <f>+[7]ER!$B$19/[7]Ipsos!$B$112</f>
        <v>1.1601969419337914E-2</v>
      </c>
      <c r="E7" s="1138">
        <f>+[7]PYG!$B$19/[7]Yanhas!$B$112</f>
        <v>1.3028875539268124E-3</v>
      </c>
      <c r="F7" s="1396">
        <f>+[7]PG!$B$19/[7]CENAL!$B$112</f>
        <v>9.4763107063241508E-2</v>
      </c>
      <c r="G7" s="1400">
        <f t="shared" si="0"/>
        <v>6.5541717952585177E-2</v>
      </c>
    </row>
    <row r="8" spans="2:9">
      <c r="B8" s="1382" t="s">
        <v>449</v>
      </c>
      <c r="C8" s="1484">
        <f>+'Estados Financieros (P)'!I29/'Estados Financieros (P)'!I79</f>
        <v>0.48074819488062925</v>
      </c>
      <c r="D8" s="1389">
        <f>+[7]ER!$B$19/[7]Ipsos!$B$238</f>
        <v>0.21401055263458213</v>
      </c>
      <c r="E8" s="1138">
        <f>+[7]PYG!$B$19/[7]Yanhas!$B$238</f>
        <v>2.906295029170434E-3</v>
      </c>
      <c r="F8" s="1396">
        <f>+[7]PG!$B$19/[7]CENAL!$B$238</f>
        <v>0.20354057540007281</v>
      </c>
      <c r="G8" s="1400">
        <f t="shared" si="0"/>
        <v>0.22530140448611363</v>
      </c>
    </row>
    <row r="9" spans="2:9">
      <c r="B9" s="1383" t="s">
        <v>1414</v>
      </c>
      <c r="C9" s="1483">
        <f>+'Estados Financieros (P)'!I7</f>
        <v>99918.35</v>
      </c>
      <c r="D9" s="1388">
        <f>+[7]ER!$B$8/1000</f>
        <v>37243.228999999999</v>
      </c>
      <c r="E9" s="1392">
        <f>+[7]PYG!$B$8/1000</f>
        <v>9600.1579999999994</v>
      </c>
      <c r="F9" s="1395">
        <f>+[7]PG!$B$8/1000</f>
        <v>20713.386999999999</v>
      </c>
      <c r="G9" s="1399">
        <f t="shared" si="0"/>
        <v>41868.780999999995</v>
      </c>
    </row>
    <row r="10" spans="2:9">
      <c r="B10" s="1384" t="s">
        <v>1415</v>
      </c>
      <c r="C10" s="1485">
        <f>+'Estados Financieros (P)'!I29</f>
        <v>15015.329999999998</v>
      </c>
      <c r="D10" s="1481">
        <f>+[7]ER!$B$19/1000</f>
        <v>391.93700000000001</v>
      </c>
      <c r="E10" s="1393">
        <f>+[7]PYG!$B$19/1000</f>
        <v>8.923</v>
      </c>
      <c r="F10" s="1397">
        <f>+[7]PG!$B$19/1000</f>
        <v>926.48800000000006</v>
      </c>
      <c r="G10" s="1399">
        <f t="shared" si="0"/>
        <v>4085.6694999999995</v>
      </c>
    </row>
    <row r="11" spans="2:9">
      <c r="B11" s="1383" t="s">
        <v>1416</v>
      </c>
      <c r="C11" s="1486">
        <v>1</v>
      </c>
      <c r="D11" s="1388">
        <v>531</v>
      </c>
      <c r="E11" s="1392">
        <v>1000</v>
      </c>
      <c r="F11" s="1395">
        <v>1000</v>
      </c>
      <c r="G11" s="1401">
        <f t="shared" si="0"/>
        <v>633</v>
      </c>
    </row>
    <row r="12" spans="2:9">
      <c r="B12" s="1386" t="s">
        <v>1417</v>
      </c>
      <c r="C12" s="1487">
        <v>7666</v>
      </c>
      <c r="D12" s="1405">
        <v>27.6</v>
      </c>
      <c r="E12" s="1390">
        <v>0.5</v>
      </c>
      <c r="F12" s="1390">
        <v>3.4470000000000001</v>
      </c>
    </row>
    <row r="13" spans="2:9" ht="15.75" thickBot="1">
      <c r="B13" s="1386" t="s">
        <v>1418</v>
      </c>
      <c r="C13" s="1488">
        <f>+C12*$C$11</f>
        <v>7666</v>
      </c>
      <c r="D13" s="1482">
        <f>+D11*D12</f>
        <v>14655.6</v>
      </c>
      <c r="E13" s="1385">
        <f>+E11*E12</f>
        <v>500</v>
      </c>
      <c r="F13" s="1385">
        <f>+F11*F12</f>
        <v>3447</v>
      </c>
    </row>
    <row r="14" spans="2:9" ht="15.75" thickBot="1">
      <c r="F14" s="1380"/>
    </row>
    <row r="15" spans="2:9">
      <c r="B15" s="1489" t="s">
        <v>1424</v>
      </c>
      <c r="C15" s="1403" t="s">
        <v>1419</v>
      </c>
      <c r="D15" s="1387" t="s">
        <v>1420</v>
      </c>
      <c r="E15" s="1391" t="s">
        <v>1421</v>
      </c>
      <c r="F15" s="1391" t="s">
        <v>1422</v>
      </c>
      <c r="G15" s="1391" t="s">
        <v>1428</v>
      </c>
      <c r="H15" s="1391" t="s">
        <v>1429</v>
      </c>
      <c r="I15" s="1391" t="s">
        <v>1430</v>
      </c>
    </row>
    <row r="16" spans="2:9">
      <c r="B16" s="1402" t="s">
        <v>1425</v>
      </c>
      <c r="C16" s="1404">
        <f>+C12/C10</f>
        <v>0.51054488978930201</v>
      </c>
      <c r="D16" s="1405">
        <f>+D12/D10</f>
        <v>7.0419480681844282E-2</v>
      </c>
      <c r="E16" s="1390">
        <f>+E12/E10</f>
        <v>5.6034965818670852E-2</v>
      </c>
      <c r="F16" s="1390">
        <f>+F12/F10</f>
        <v>3.720501506765333E-3</v>
      </c>
      <c r="G16" s="1134">
        <f>+AVERAGE(C16:F16)</f>
        <v>0.16017995944914559</v>
      </c>
      <c r="H16" s="1134">
        <f>+G16*C12</f>
        <v>1227.9395691371501</v>
      </c>
      <c r="I16" s="1490">
        <f>+(H16+H17+H18)/3</f>
        <v>182315.92974161508</v>
      </c>
    </row>
    <row r="17" spans="2:9">
      <c r="B17" s="1402" t="s">
        <v>1426</v>
      </c>
      <c r="C17" s="1404">
        <f>+C13/C5</f>
        <v>0.58020637969686362</v>
      </c>
      <c r="D17" s="1405">
        <f>+D13/D5</f>
        <v>6.103671965322734</v>
      </c>
      <c r="E17" s="1390">
        <f>+E13/E5</f>
        <v>0.18046508740465578</v>
      </c>
      <c r="F17" s="1390">
        <f>+F13/F5</f>
        <v>1.8708215875552101</v>
      </c>
      <c r="G17" s="1134">
        <f>+AVERAGE(C17:F17)</f>
        <v>2.1837912549948659</v>
      </c>
      <c r="H17" s="1390">
        <f>+(G17*C5)/C12</f>
        <v>3.7638180678671889</v>
      </c>
      <c r="I17" s="1491"/>
    </row>
    <row r="18" spans="2:9" ht="15.75" thickBot="1">
      <c r="B18" s="1474" t="s">
        <v>1427</v>
      </c>
      <c r="C18" s="1473">
        <f>+C9/C13</f>
        <v>13.03396164883903</v>
      </c>
      <c r="D18" s="1406">
        <f>+D9/D13</f>
        <v>2.5412285406261086</v>
      </c>
      <c r="E18" s="1134">
        <f>+E9/E13</f>
        <v>19.200315999999997</v>
      </c>
      <c r="F18" s="1134">
        <f>+F9/F13</f>
        <v>6.0091055990716562</v>
      </c>
      <c r="G18" s="1134">
        <f>+AVERAGE(C18:F18)</f>
        <v>10.196152947134198</v>
      </c>
      <c r="H18" s="1134">
        <f>+C18*G9</f>
        <v>545716.08583764022</v>
      </c>
      <c r="I18" s="1491"/>
    </row>
    <row r="20" spans="2:9">
      <c r="I20" s="1469"/>
    </row>
    <row r="21" spans="2:9" ht="15.75" thickBot="1"/>
    <row r="22" spans="2:9" ht="15.75" thickBot="1">
      <c r="B22" s="1479" t="s">
        <v>1448</v>
      </c>
      <c r="C22" s="1476" t="s">
        <v>1419</v>
      </c>
      <c r="D22" s="1476" t="s">
        <v>1446</v>
      </c>
      <c r="E22" s="1476" t="s">
        <v>1447</v>
      </c>
    </row>
    <row r="23" spans="2:9" ht="15.75" thickBot="1">
      <c r="B23" s="1475" t="s">
        <v>5</v>
      </c>
      <c r="C23" s="1477">
        <f ca="1">+DFC!J21/DFC!J6</f>
        <v>14.271180020065792</v>
      </c>
      <c r="D23" s="1480">
        <v>15.8</v>
      </c>
      <c r="E23" s="1478">
        <v>8.4</v>
      </c>
    </row>
  </sheetData>
  <pageMargins left="0.7" right="0.7" top="0.75" bottom="0.75" header="0.3" footer="0.3"/>
  <pageSetup orientation="portrait"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97"/>
  <sheetViews>
    <sheetView showGridLines="0" topLeftCell="A23" zoomScale="80" zoomScaleNormal="80" workbookViewId="0">
      <selection activeCell="I42" sqref="I42"/>
    </sheetView>
  </sheetViews>
  <sheetFormatPr baseColWidth="10" defaultRowHeight="15"/>
  <cols>
    <col min="1" max="8" width="11.42578125" style="64"/>
    <col min="9" max="9" width="12.7109375" style="64" bestFit="1" customWidth="1"/>
    <col min="10" max="10" width="13" style="64" bestFit="1" customWidth="1"/>
    <col min="11" max="16384" width="11.42578125" style="64"/>
  </cols>
  <sheetData>
    <row r="1" spans="1:10" ht="15.75" thickBot="1">
      <c r="A1" s="1324" t="s">
        <v>574</v>
      </c>
      <c r="B1" s="1325" t="s">
        <v>1376</v>
      </c>
    </row>
    <row r="2" spans="1:10" ht="15.75" thickBot="1">
      <c r="A2" s="1326">
        <v>40546</v>
      </c>
      <c r="B2" s="1327">
        <v>163</v>
      </c>
    </row>
    <row r="3" spans="1:10" ht="15.75" thickBot="1">
      <c r="A3" s="1326">
        <v>40547</v>
      </c>
      <c r="B3" s="1327">
        <v>141</v>
      </c>
      <c r="C3" s="64">
        <f>+LN(B3/B2)</f>
        <v>-0.14499031042859406</v>
      </c>
      <c r="F3" s="1158" t="s">
        <v>1377</v>
      </c>
      <c r="G3" s="1158" t="s">
        <v>1378</v>
      </c>
      <c r="H3" s="1158" t="s">
        <v>1010</v>
      </c>
      <c r="I3" s="1330" t="s">
        <v>1379</v>
      </c>
      <c r="J3" s="1158" t="s">
        <v>1380</v>
      </c>
    </row>
    <row r="4" spans="1:10" ht="15.75" thickBot="1">
      <c r="A4" s="1326">
        <v>40548</v>
      </c>
      <c r="B4" s="1327">
        <v>137</v>
      </c>
      <c r="C4" s="64">
        <f t="shared" ref="C4:C67" si="0">+LN(B4/B3)</f>
        <v>-2.8778964550043404E-2</v>
      </c>
      <c r="F4" s="1160">
        <v>-0.35473758459850624</v>
      </c>
      <c r="G4" s="1160">
        <v>1</v>
      </c>
      <c r="H4" s="701">
        <f>+G4/$G$39</f>
        <v>8.2781456953642384E-4</v>
      </c>
      <c r="I4" s="64">
        <f>+H4*F4</f>
        <v>-2.9365694089280317E-4</v>
      </c>
      <c r="J4" s="701">
        <f>+(F4-$I$39)^2*H4</f>
        <v>1.103113140256004E-4</v>
      </c>
    </row>
    <row r="5" spans="1:10" ht="15.75" thickBot="1">
      <c r="A5" s="1326">
        <v>40549</v>
      </c>
      <c r="B5" s="1327">
        <v>141</v>
      </c>
      <c r="C5" s="64">
        <f t="shared" si="0"/>
        <v>2.8778964550043327E-2</v>
      </c>
      <c r="F5" s="1160">
        <v>-0.33535081738352102</v>
      </c>
      <c r="G5" s="1160">
        <v>0</v>
      </c>
      <c r="H5" s="701">
        <f t="shared" ref="H5:H38" si="1">+G5/$G$39</f>
        <v>0</v>
      </c>
      <c r="I5" s="64">
        <f t="shared" ref="I5:I37" si="2">+H5*F5</f>
        <v>0</v>
      </c>
      <c r="J5" s="701">
        <f t="shared" ref="J5:J37" si="3">+(F5-$I$39)^2*H5</f>
        <v>0</v>
      </c>
    </row>
    <row r="6" spans="1:10" ht="15.75" thickBot="1">
      <c r="A6" s="1326">
        <v>40550</v>
      </c>
      <c r="B6" s="1327">
        <v>147</v>
      </c>
      <c r="C6" s="64">
        <f t="shared" si="0"/>
        <v>4.1672696400568081E-2</v>
      </c>
      <c r="F6" s="1160">
        <v>-0.31596405016853585</v>
      </c>
      <c r="G6" s="1160">
        <v>0</v>
      </c>
      <c r="H6" s="701">
        <f t="shared" si="1"/>
        <v>0</v>
      </c>
      <c r="I6" s="64">
        <f t="shared" si="2"/>
        <v>0</v>
      </c>
      <c r="J6" s="701">
        <f t="shared" si="3"/>
        <v>0</v>
      </c>
    </row>
    <row r="7" spans="1:10" ht="15.75" thickBot="1">
      <c r="A7" s="1326">
        <v>40553</v>
      </c>
      <c r="B7" s="1327">
        <v>152</v>
      </c>
      <c r="C7" s="64">
        <f t="shared" si="0"/>
        <v>3.3447934067540125E-2</v>
      </c>
      <c r="F7" s="1160">
        <v>-0.29657728295355068</v>
      </c>
      <c r="G7" s="1160">
        <v>0</v>
      </c>
      <c r="H7" s="701">
        <f t="shared" si="1"/>
        <v>0</v>
      </c>
      <c r="I7" s="64">
        <f t="shared" si="2"/>
        <v>0</v>
      </c>
      <c r="J7" s="701">
        <f t="shared" si="3"/>
        <v>0</v>
      </c>
    </row>
    <row r="8" spans="1:10" ht="15.75" thickBot="1">
      <c r="A8" s="1326">
        <v>40554</v>
      </c>
      <c r="B8" s="1327">
        <v>144</v>
      </c>
      <c r="C8" s="64">
        <f t="shared" si="0"/>
        <v>-5.4067221270275821E-2</v>
      </c>
      <c r="F8" s="1160">
        <v>-0.27719051573856546</v>
      </c>
      <c r="G8" s="1160">
        <v>0</v>
      </c>
      <c r="H8" s="701">
        <f t="shared" si="1"/>
        <v>0</v>
      </c>
      <c r="I8" s="64">
        <f t="shared" si="2"/>
        <v>0</v>
      </c>
      <c r="J8" s="701">
        <f t="shared" si="3"/>
        <v>0</v>
      </c>
    </row>
    <row r="9" spans="1:10" ht="15.75" thickBot="1">
      <c r="A9" s="1326">
        <v>40555</v>
      </c>
      <c r="B9" s="1327">
        <v>138</v>
      </c>
      <c r="C9" s="64">
        <f t="shared" si="0"/>
        <v>-4.2559614418795889E-2</v>
      </c>
      <c r="F9" s="1160">
        <v>-0.25780374852358023</v>
      </c>
      <c r="G9" s="1160">
        <v>0</v>
      </c>
      <c r="H9" s="701">
        <f t="shared" si="1"/>
        <v>0</v>
      </c>
      <c r="I9" s="64">
        <f t="shared" si="2"/>
        <v>0</v>
      </c>
      <c r="J9" s="701">
        <f t="shared" si="3"/>
        <v>0</v>
      </c>
    </row>
    <row r="10" spans="1:10" ht="15.75" thickBot="1">
      <c r="A10" s="1326">
        <v>40556</v>
      </c>
      <c r="B10" s="1327">
        <v>143</v>
      </c>
      <c r="C10" s="64">
        <f t="shared" si="0"/>
        <v>3.5590945102702533E-2</v>
      </c>
      <c r="F10" s="1160">
        <v>-0.23841698130859507</v>
      </c>
      <c r="G10" s="1160">
        <v>0</v>
      </c>
      <c r="H10" s="701">
        <f t="shared" si="1"/>
        <v>0</v>
      </c>
      <c r="I10" s="64">
        <f t="shared" si="2"/>
        <v>0</v>
      </c>
      <c r="J10" s="701">
        <f t="shared" si="3"/>
        <v>0</v>
      </c>
    </row>
    <row r="11" spans="1:10" ht="15.75" thickBot="1">
      <c r="A11" s="1326">
        <v>40557</v>
      </c>
      <c r="B11" s="1327">
        <v>142</v>
      </c>
      <c r="C11" s="64">
        <f t="shared" si="0"/>
        <v>-7.0175726586465346E-3</v>
      </c>
      <c r="F11" s="1160">
        <v>-0.21903021409360987</v>
      </c>
      <c r="G11" s="1160">
        <v>0</v>
      </c>
      <c r="H11" s="701">
        <f t="shared" si="1"/>
        <v>0</v>
      </c>
      <c r="I11" s="64">
        <f t="shared" si="2"/>
        <v>0</v>
      </c>
      <c r="J11" s="701">
        <f t="shared" si="3"/>
        <v>0</v>
      </c>
    </row>
    <row r="12" spans="1:10" ht="15.75" thickBot="1">
      <c r="A12" s="1326">
        <v>40560</v>
      </c>
      <c r="B12" s="1327">
        <v>142</v>
      </c>
      <c r="C12" s="64">
        <f t="shared" si="0"/>
        <v>0</v>
      </c>
      <c r="F12" s="1160">
        <v>-0.19964344687862468</v>
      </c>
      <c r="G12" s="1160">
        <v>0</v>
      </c>
      <c r="H12" s="701">
        <f t="shared" si="1"/>
        <v>0</v>
      </c>
      <c r="I12" s="64">
        <f t="shared" si="2"/>
        <v>0</v>
      </c>
      <c r="J12" s="701">
        <f t="shared" si="3"/>
        <v>0</v>
      </c>
    </row>
    <row r="13" spans="1:10" ht="15.75" thickBot="1">
      <c r="A13" s="1326">
        <v>40561</v>
      </c>
      <c r="B13" s="1327">
        <v>140</v>
      </c>
      <c r="C13" s="64">
        <f t="shared" si="0"/>
        <v>-1.4184634991956413E-2</v>
      </c>
      <c r="F13" s="1160">
        <v>-0.18025667966363948</v>
      </c>
      <c r="G13" s="1160">
        <v>1</v>
      </c>
      <c r="H13" s="701">
        <f t="shared" si="1"/>
        <v>8.2781456953642384E-4</v>
      </c>
      <c r="I13" s="64">
        <f t="shared" si="2"/>
        <v>-1.4921910568182077E-4</v>
      </c>
      <c r="J13" s="701">
        <f t="shared" si="3"/>
        <v>3.0061045260727426E-5</v>
      </c>
    </row>
    <row r="14" spans="1:10" ht="15.75" thickBot="1">
      <c r="A14" s="1326">
        <v>40562</v>
      </c>
      <c r="B14" s="1327">
        <v>148</v>
      </c>
      <c r="C14" s="64">
        <f t="shared" si="0"/>
        <v>5.5569851154810786E-2</v>
      </c>
      <c r="F14" s="1160">
        <v>-0.16086991244865428</v>
      </c>
      <c r="G14" s="1160">
        <v>0</v>
      </c>
      <c r="H14" s="701">
        <f t="shared" si="1"/>
        <v>0</v>
      </c>
      <c r="I14" s="64">
        <f t="shared" si="2"/>
        <v>0</v>
      </c>
      <c r="J14" s="701">
        <f t="shared" si="3"/>
        <v>0</v>
      </c>
    </row>
    <row r="15" spans="1:10" ht="15.75" thickBot="1">
      <c r="A15" s="1326">
        <v>40563</v>
      </c>
      <c r="B15" s="1327">
        <v>141</v>
      </c>
      <c r="C15" s="64">
        <f t="shared" si="0"/>
        <v>-4.8452383385946741E-2</v>
      </c>
      <c r="F15" s="1160">
        <v>-0.14148314523366909</v>
      </c>
      <c r="G15" s="1160">
        <v>1</v>
      </c>
      <c r="H15" s="701">
        <f t="shared" si="1"/>
        <v>8.2781456953642384E-4</v>
      </c>
      <c r="I15" s="64">
        <f t="shared" si="2"/>
        <v>-1.1712180896826911E-4</v>
      </c>
      <c r="J15" s="701">
        <f t="shared" si="3"/>
        <v>1.9072543217642058E-5</v>
      </c>
    </row>
    <row r="16" spans="1:10" ht="15.75" thickBot="1">
      <c r="A16" s="1326">
        <v>40564</v>
      </c>
      <c r="B16" s="1327">
        <v>147</v>
      </c>
      <c r="C16" s="64">
        <f t="shared" si="0"/>
        <v>4.1672696400568081E-2</v>
      </c>
      <c r="F16" s="1160">
        <v>-0.12209637801868389</v>
      </c>
      <c r="G16" s="1160">
        <v>2</v>
      </c>
      <c r="H16" s="701">
        <f t="shared" si="1"/>
        <v>1.6556291390728477E-3</v>
      </c>
      <c r="I16" s="64">
        <f t="shared" si="2"/>
        <v>-2.0214632122298658E-4</v>
      </c>
      <c r="J16" s="701">
        <f t="shared" si="3"/>
        <v>2.9023372851046546E-5</v>
      </c>
    </row>
    <row r="17" spans="1:10" ht="15.75" thickBot="1">
      <c r="A17" s="1326">
        <v>40567</v>
      </c>
      <c r="B17" s="1327">
        <v>142</v>
      </c>
      <c r="C17" s="64">
        <f t="shared" si="0"/>
        <v>-3.4605529177475607E-2</v>
      </c>
      <c r="F17" s="1160">
        <v>-0.10270961080369867</v>
      </c>
      <c r="G17" s="1160">
        <v>0</v>
      </c>
      <c r="H17" s="701">
        <f t="shared" si="1"/>
        <v>0</v>
      </c>
      <c r="I17" s="64">
        <f t="shared" si="2"/>
        <v>0</v>
      </c>
      <c r="J17" s="701">
        <f t="shared" si="3"/>
        <v>0</v>
      </c>
    </row>
    <row r="18" spans="1:10" ht="15.75" thickBot="1">
      <c r="A18" s="1326">
        <v>40568</v>
      </c>
      <c r="B18" s="1327">
        <v>152</v>
      </c>
      <c r="C18" s="64">
        <f t="shared" si="0"/>
        <v>6.8053463245015572E-2</v>
      </c>
      <c r="F18" s="1160">
        <v>-8.3322843588713502E-2</v>
      </c>
      <c r="G18" s="1160">
        <v>5</v>
      </c>
      <c r="H18" s="701">
        <f t="shared" si="1"/>
        <v>4.1390728476821195E-3</v>
      </c>
      <c r="I18" s="64">
        <f t="shared" si="2"/>
        <v>-3.4487931948970821E-4</v>
      </c>
      <c r="J18" s="701">
        <f t="shared" si="3"/>
        <v>3.6283806500667558E-5</v>
      </c>
    </row>
    <row r="19" spans="1:10" ht="15.75" thickBot="1">
      <c r="A19" s="1326">
        <v>40569</v>
      </c>
      <c r="B19" s="1327">
        <v>142</v>
      </c>
      <c r="C19" s="64">
        <f t="shared" si="0"/>
        <v>-6.8053463245015641E-2</v>
      </c>
      <c r="F19" s="1160">
        <v>-6.3936076373728334E-2</v>
      </c>
      <c r="G19" s="1160">
        <v>19</v>
      </c>
      <c r="H19" s="701">
        <f t="shared" si="1"/>
        <v>1.5728476821192054E-2</v>
      </c>
      <c r="I19" s="64">
        <f t="shared" si="2"/>
        <v>-1.005617095282151E-3</v>
      </c>
      <c r="J19" s="701">
        <f t="shared" si="3"/>
        <v>8.669116637038821E-5</v>
      </c>
    </row>
    <row r="20" spans="1:10" ht="15.75" thickBot="1">
      <c r="A20" s="1326">
        <v>40570</v>
      </c>
      <c r="B20" s="1327">
        <v>146</v>
      </c>
      <c r="C20" s="64">
        <f t="shared" si="0"/>
        <v>2.7779564107075671E-2</v>
      </c>
      <c r="F20" s="1160">
        <v>-4.4549309158743111E-2</v>
      </c>
      <c r="G20" s="1160">
        <v>58</v>
      </c>
      <c r="H20" s="701">
        <f t="shared" si="1"/>
        <v>4.8013245033112585E-2</v>
      </c>
      <c r="I20" s="64">
        <f t="shared" si="2"/>
        <v>-2.1389568966946196E-3</v>
      </c>
      <c r="J20" s="701">
        <f t="shared" si="3"/>
        <v>1.4447147228603457E-4</v>
      </c>
    </row>
    <row r="21" spans="1:10" ht="15.75" thickBot="1">
      <c r="A21" s="1326">
        <v>40571</v>
      </c>
      <c r="B21" s="1327">
        <v>157</v>
      </c>
      <c r="C21" s="64">
        <f t="shared" si="0"/>
        <v>7.2639183639971697E-2</v>
      </c>
      <c r="F21" s="1160">
        <v>-2.5162541943757888E-2</v>
      </c>
      <c r="G21" s="1160">
        <v>139</v>
      </c>
      <c r="H21" s="701">
        <f t="shared" si="1"/>
        <v>0.11506622516556292</v>
      </c>
      <c r="I21" s="64">
        <f t="shared" si="2"/>
        <v>-2.8953587170383664E-3</v>
      </c>
      <c r="J21" s="701">
        <f t="shared" si="3"/>
        <v>1.447469215244053E-4</v>
      </c>
    </row>
    <row r="22" spans="1:10" ht="15.75" thickBot="1">
      <c r="A22" s="1326">
        <v>40574</v>
      </c>
      <c r="B22" s="1327">
        <v>150</v>
      </c>
      <c r="C22" s="64">
        <f t="shared" si="0"/>
        <v>-4.5610511252052295E-2</v>
      </c>
      <c r="F22" s="1160">
        <v>-5.7757747287727201E-3</v>
      </c>
      <c r="G22" s="1160">
        <v>254</v>
      </c>
      <c r="H22" s="701">
        <f t="shared" si="1"/>
        <v>0.21026490066225165</v>
      </c>
      <c r="I22" s="64">
        <f t="shared" si="2"/>
        <v>-1.2144426995929394E-3</v>
      </c>
      <c r="J22" s="701">
        <f t="shared" si="3"/>
        <v>5.4372480725284125E-5</v>
      </c>
    </row>
    <row r="23" spans="1:10" ht="15.75" thickBot="1">
      <c r="A23" s="1326">
        <v>40575</v>
      </c>
      <c r="B23" s="1327">
        <v>141</v>
      </c>
      <c r="C23" s="64">
        <f t="shared" si="0"/>
        <v>-6.1875403718087529E-2</v>
      </c>
      <c r="F23" s="1160">
        <v>1.3610992486212448E-2</v>
      </c>
      <c r="G23" s="1160">
        <v>339</v>
      </c>
      <c r="H23" s="701">
        <f t="shared" si="1"/>
        <v>0.2806291390728477</v>
      </c>
      <c r="I23" s="64">
        <f t="shared" si="2"/>
        <v>3.819641103332798E-3</v>
      </c>
      <c r="J23" s="701">
        <f t="shared" si="3"/>
        <v>3.0672143489738888E-6</v>
      </c>
    </row>
    <row r="24" spans="1:10" ht="15.75" thickBot="1">
      <c r="A24" s="1326">
        <v>40576</v>
      </c>
      <c r="B24" s="1327">
        <v>136</v>
      </c>
      <c r="C24" s="64">
        <f t="shared" si="0"/>
        <v>-3.6105004642116321E-2</v>
      </c>
      <c r="F24" s="1160">
        <v>3.2997759701197671E-2</v>
      </c>
      <c r="G24" s="1160">
        <v>231</v>
      </c>
      <c r="H24" s="701">
        <f t="shared" si="1"/>
        <v>0.19122516556291391</v>
      </c>
      <c r="I24" s="64">
        <f t="shared" si="2"/>
        <v>6.310002062066773E-3</v>
      </c>
      <c r="J24" s="701">
        <f t="shared" si="3"/>
        <v>9.8473820386481815E-5</v>
      </c>
    </row>
    <row r="25" spans="1:10" ht="15.75" thickBot="1">
      <c r="A25" s="1326">
        <v>40577</v>
      </c>
      <c r="B25" s="1327">
        <v>140</v>
      </c>
      <c r="C25" s="64">
        <f t="shared" si="0"/>
        <v>2.8987536873252187E-2</v>
      </c>
      <c r="F25" s="1160">
        <v>5.2384526916182894E-2</v>
      </c>
      <c r="G25" s="1160">
        <v>94</v>
      </c>
      <c r="H25" s="701">
        <f t="shared" si="1"/>
        <v>7.7814569536423836E-2</v>
      </c>
      <c r="I25" s="64">
        <f t="shared" si="2"/>
        <v>4.0762794123519802E-3</v>
      </c>
      <c r="J25" s="701">
        <f t="shared" si="3"/>
        <v>1.3778540484210312E-4</v>
      </c>
    </row>
    <row r="26" spans="1:10" ht="15.75" thickBot="1">
      <c r="A26" s="1326">
        <v>40578</v>
      </c>
      <c r="B26" s="1327">
        <v>135</v>
      </c>
      <c r="C26" s="64">
        <f t="shared" si="0"/>
        <v>-3.6367644170874833E-2</v>
      </c>
      <c r="F26" s="1160">
        <v>7.1771294131168062E-2</v>
      </c>
      <c r="G26" s="1160">
        <v>45</v>
      </c>
      <c r="H26" s="701">
        <f t="shared" si="1"/>
        <v>3.7251655629139076E-2</v>
      </c>
      <c r="I26" s="64">
        <f t="shared" si="2"/>
        <v>2.6735995330319229E-3</v>
      </c>
      <c r="J26" s="701">
        <f t="shared" si="3"/>
        <v>1.4074081124453445E-4</v>
      </c>
    </row>
    <row r="27" spans="1:10" ht="15.75" thickBot="1">
      <c r="A27" s="1326">
        <v>40581</v>
      </c>
      <c r="B27" s="1327">
        <v>140</v>
      </c>
      <c r="C27" s="64">
        <f t="shared" si="0"/>
        <v>3.6367644170874791E-2</v>
      </c>
      <c r="F27" s="1160">
        <v>9.115806134615323E-2</v>
      </c>
      <c r="G27" s="1160">
        <v>11</v>
      </c>
      <c r="H27" s="701">
        <f t="shared" si="1"/>
        <v>9.1059602649006619E-3</v>
      </c>
      <c r="I27" s="64">
        <f t="shared" si="2"/>
        <v>8.300816844434483E-4</v>
      </c>
      <c r="J27" s="701">
        <f t="shared" si="3"/>
        <v>5.9527685875552155E-5</v>
      </c>
    </row>
    <row r="28" spans="1:10" ht="15.75" thickBot="1">
      <c r="A28" s="1326">
        <v>40582</v>
      </c>
      <c r="B28" s="1327">
        <v>139</v>
      </c>
      <c r="C28" s="64">
        <f t="shared" si="0"/>
        <v>-7.168489478612516E-3</v>
      </c>
      <c r="F28" s="1160">
        <v>0.11054482856113845</v>
      </c>
      <c r="G28" s="1160">
        <v>5</v>
      </c>
      <c r="H28" s="701">
        <f t="shared" si="1"/>
        <v>4.1390728476821195E-3</v>
      </c>
      <c r="I28" s="64">
        <f t="shared" si="2"/>
        <v>4.5755309834908303E-4</v>
      </c>
      <c r="J28" s="701">
        <f t="shared" si="3"/>
        <v>4.1589524250704112E-5</v>
      </c>
    </row>
    <row r="29" spans="1:10" ht="15.75" thickBot="1">
      <c r="A29" s="1326">
        <v>40583</v>
      </c>
      <c r="B29" s="1327">
        <v>147</v>
      </c>
      <c r="C29" s="64">
        <f t="shared" si="0"/>
        <v>5.5958653648044629E-2</v>
      </c>
      <c r="F29" s="1160">
        <v>0.12993159577612368</v>
      </c>
      <c r="G29" s="1160">
        <v>1</v>
      </c>
      <c r="H29" s="701">
        <f t="shared" si="1"/>
        <v>8.2781456953642384E-4</v>
      </c>
      <c r="I29" s="64">
        <f t="shared" si="2"/>
        <v>1.0755926802659245E-4</v>
      </c>
      <c r="J29" s="701">
        <f t="shared" si="3"/>
        <v>1.18464647130292E-5</v>
      </c>
    </row>
    <row r="30" spans="1:10" ht="15.75" thickBot="1">
      <c r="A30" s="1326">
        <v>40584</v>
      </c>
      <c r="B30" s="1327">
        <v>151</v>
      </c>
      <c r="C30" s="64">
        <f t="shared" si="0"/>
        <v>2.6847250036188056E-2</v>
      </c>
      <c r="F30" s="1160">
        <v>0.1493183629911089</v>
      </c>
      <c r="G30" s="1160">
        <v>0</v>
      </c>
      <c r="H30" s="701">
        <f t="shared" si="1"/>
        <v>0</v>
      </c>
      <c r="I30" s="64">
        <f t="shared" si="2"/>
        <v>0</v>
      </c>
      <c r="J30" s="701">
        <f t="shared" si="3"/>
        <v>0</v>
      </c>
    </row>
    <row r="31" spans="1:10" ht="15.75" thickBot="1">
      <c r="A31" s="1326">
        <v>40585</v>
      </c>
      <c r="B31" s="1327">
        <v>154</v>
      </c>
      <c r="C31" s="64">
        <f t="shared" si="0"/>
        <v>1.9672765598704928E-2</v>
      </c>
      <c r="F31" s="1160">
        <v>0.16870513020609401</v>
      </c>
      <c r="G31" s="1160">
        <v>0</v>
      </c>
      <c r="H31" s="701">
        <f t="shared" si="1"/>
        <v>0</v>
      </c>
      <c r="I31" s="64">
        <f t="shared" si="2"/>
        <v>0</v>
      </c>
      <c r="J31" s="701">
        <f t="shared" si="3"/>
        <v>0</v>
      </c>
    </row>
    <row r="32" spans="1:10" ht="15.75" thickBot="1">
      <c r="A32" s="1326">
        <v>40588</v>
      </c>
      <c r="B32" s="1327">
        <v>157</v>
      </c>
      <c r="C32" s="64">
        <f t="shared" si="0"/>
        <v>1.9293202934678851E-2</v>
      </c>
      <c r="F32" s="1160">
        <v>0.18809189742107923</v>
      </c>
      <c r="G32" s="1160">
        <v>1</v>
      </c>
      <c r="H32" s="701">
        <f t="shared" si="1"/>
        <v>8.2781456953642384E-4</v>
      </c>
      <c r="I32" s="64">
        <f t="shared" si="2"/>
        <v>1.557052130969199E-4</v>
      </c>
      <c r="J32" s="701">
        <f t="shared" si="3"/>
        <v>2.6165721219389922E-5</v>
      </c>
    </row>
    <row r="33" spans="1:11" ht="15.75" thickBot="1">
      <c r="A33" s="1326">
        <v>40589</v>
      </c>
      <c r="B33" s="1327">
        <v>161</v>
      </c>
      <c r="C33" s="64">
        <f t="shared" si="0"/>
        <v>2.5158559636154931E-2</v>
      </c>
      <c r="F33" s="1160">
        <v>0.20747866463606446</v>
      </c>
      <c r="G33" s="1160">
        <v>0</v>
      </c>
      <c r="H33" s="701">
        <f t="shared" si="1"/>
        <v>0</v>
      </c>
      <c r="I33" s="64">
        <f t="shared" si="2"/>
        <v>0</v>
      </c>
      <c r="J33" s="701">
        <f t="shared" si="3"/>
        <v>0</v>
      </c>
      <c r="K33" s="64">
        <v>5</v>
      </c>
    </row>
    <row r="34" spans="1:11" ht="15.75" thickBot="1">
      <c r="A34" s="1326">
        <v>40590</v>
      </c>
      <c r="B34" s="1327">
        <v>153</v>
      </c>
      <c r="C34" s="64">
        <f t="shared" si="0"/>
        <v>-5.0966443592027517E-2</v>
      </c>
      <c r="F34" s="1160">
        <v>0.22686543185104957</v>
      </c>
      <c r="G34" s="1160">
        <v>0</v>
      </c>
      <c r="H34" s="701">
        <f t="shared" si="1"/>
        <v>0</v>
      </c>
      <c r="I34" s="64">
        <f t="shared" si="2"/>
        <v>0</v>
      </c>
      <c r="J34" s="701">
        <f t="shared" si="3"/>
        <v>0</v>
      </c>
    </row>
    <row r="35" spans="1:11" ht="15.75" thickBot="1">
      <c r="A35" s="1326">
        <v>40591</v>
      </c>
      <c r="B35" s="1327">
        <v>151</v>
      </c>
      <c r="C35" s="64">
        <f t="shared" si="0"/>
        <v>-1.3158084577511088E-2</v>
      </c>
      <c r="F35" s="1160">
        <v>0.24625219906603479</v>
      </c>
      <c r="G35" s="1160">
        <v>0</v>
      </c>
      <c r="H35" s="701">
        <f t="shared" si="1"/>
        <v>0</v>
      </c>
      <c r="I35" s="64">
        <f t="shared" si="2"/>
        <v>0</v>
      </c>
      <c r="J35" s="701">
        <f t="shared" si="3"/>
        <v>0</v>
      </c>
    </row>
    <row r="36" spans="1:11" ht="15.75" thickBot="1">
      <c r="A36" s="1326">
        <v>40592</v>
      </c>
      <c r="B36" s="1327">
        <v>150</v>
      </c>
      <c r="C36" s="64">
        <f t="shared" si="0"/>
        <v>-6.6445427186686131E-3</v>
      </c>
      <c r="F36" s="1160">
        <v>0.26563896628102002</v>
      </c>
      <c r="G36" s="1160">
        <v>0</v>
      </c>
      <c r="H36" s="701">
        <f t="shared" si="1"/>
        <v>0</v>
      </c>
      <c r="I36" s="64">
        <f t="shared" si="2"/>
        <v>0</v>
      </c>
      <c r="J36" s="701">
        <f t="shared" si="3"/>
        <v>0</v>
      </c>
    </row>
    <row r="37" spans="1:11" ht="15.75" thickBot="1">
      <c r="A37" s="1326">
        <v>40595</v>
      </c>
      <c r="B37" s="1327">
        <v>150</v>
      </c>
      <c r="C37" s="64">
        <f t="shared" si="0"/>
        <v>0</v>
      </c>
      <c r="F37" s="1160">
        <v>0.28502573349600524</v>
      </c>
      <c r="G37" s="1160">
        <v>0</v>
      </c>
      <c r="H37" s="701">
        <f t="shared" si="1"/>
        <v>0</v>
      </c>
      <c r="I37" s="64">
        <f t="shared" si="2"/>
        <v>0</v>
      </c>
      <c r="J37" s="701">
        <f t="shared" si="3"/>
        <v>0</v>
      </c>
    </row>
    <row r="38" spans="1:11" ht="15.75" thickBot="1">
      <c r="A38" s="1326">
        <v>40596</v>
      </c>
      <c r="B38" s="1327">
        <v>161</v>
      </c>
      <c r="C38" s="64">
        <f t="shared" si="0"/>
        <v>7.0769070888207164E-2</v>
      </c>
      <c r="F38" s="1161" t="s">
        <v>1381</v>
      </c>
      <c r="G38" s="1161">
        <v>1</v>
      </c>
      <c r="H38" s="701">
        <f t="shared" si="1"/>
        <v>8.2781456953642384E-4</v>
      </c>
      <c r="I38" s="64">
        <f>+H38*F37</f>
        <v>2.3594845488079903E-4</v>
      </c>
      <c r="J38" s="701">
        <f>+(F37-$I$39)^2*H38</f>
        <v>6.2476405122309861E-5</v>
      </c>
    </row>
    <row r="39" spans="1:11" ht="15.75" thickBot="1">
      <c r="A39" s="1326">
        <v>40597</v>
      </c>
      <c r="B39" s="1327">
        <v>162</v>
      </c>
      <c r="C39" s="64">
        <f t="shared" si="0"/>
        <v>6.1919702479209804E-3</v>
      </c>
      <c r="G39" s="64">
        <f>SUM(G4:G38)</f>
        <v>1208</v>
      </c>
      <c r="I39" s="1331">
        <f>SUM(I4:I38)</f>
        <v>1.0304970924716652E-2</v>
      </c>
      <c r="J39" s="1331">
        <f>SQRT(SUM(J4:J38))</f>
        <v>3.5166847666017416E-2</v>
      </c>
    </row>
    <row r="40" spans="1:11" ht="15.75" thickBot="1">
      <c r="A40" s="1326">
        <v>40598</v>
      </c>
      <c r="B40" s="1327">
        <v>165</v>
      </c>
      <c r="C40" s="64">
        <f t="shared" si="0"/>
        <v>1.8349138668196617E-2</v>
      </c>
    </row>
    <row r="41" spans="1:11" ht="15.75" thickBot="1">
      <c r="A41" s="1326">
        <v>40599</v>
      </c>
      <c r="B41" s="1327">
        <v>166</v>
      </c>
      <c r="C41" s="64">
        <f t="shared" si="0"/>
        <v>6.0423144559626617E-3</v>
      </c>
    </row>
    <row r="42" spans="1:11" ht="15.75" thickBot="1">
      <c r="A42" s="1326">
        <v>40602</v>
      </c>
      <c r="B42" s="1327">
        <v>160</v>
      </c>
      <c r="C42" s="64">
        <f t="shared" si="0"/>
        <v>-3.6813973122716316E-2</v>
      </c>
      <c r="H42" s="1332" t="s">
        <v>1382</v>
      </c>
      <c r="I42" s="1331">
        <f>+J39*SQRT(252)</f>
        <v>0.55825639991024589</v>
      </c>
    </row>
    <row r="43" spans="1:11" ht="15.75" thickBot="1">
      <c r="A43" s="1326">
        <v>40603</v>
      </c>
      <c r="B43" s="1327">
        <v>159</v>
      </c>
      <c r="C43" s="64">
        <f t="shared" si="0"/>
        <v>-6.2696130135953742E-3</v>
      </c>
    </row>
    <row r="44" spans="1:11" ht="15.75" thickBot="1">
      <c r="A44" s="1326">
        <v>40604</v>
      </c>
      <c r="B44" s="1327">
        <v>155</v>
      </c>
      <c r="C44" s="64">
        <f t="shared" si="0"/>
        <v>-2.5479085300984899E-2</v>
      </c>
    </row>
    <row r="45" spans="1:11" ht="15.75" thickBot="1">
      <c r="A45" s="1326">
        <v>40605</v>
      </c>
      <c r="B45" s="1327">
        <v>144</v>
      </c>
      <c r="C45" s="64">
        <f t="shared" si="0"/>
        <v>-7.3611817343245955E-2</v>
      </c>
    </row>
    <row r="46" spans="1:11" ht="15.75" thickBot="1">
      <c r="A46" s="1326">
        <v>40606</v>
      </c>
      <c r="B46" s="1327">
        <v>151</v>
      </c>
      <c r="C46" s="64">
        <f t="shared" si="0"/>
        <v>4.7466537238923752E-2</v>
      </c>
    </row>
    <row r="47" spans="1:11" ht="15.75" thickBot="1">
      <c r="A47" s="1326">
        <v>40609</v>
      </c>
      <c r="B47" s="1327">
        <v>150</v>
      </c>
      <c r="C47" s="64">
        <f t="shared" si="0"/>
        <v>-6.6445427186686131E-3</v>
      </c>
    </row>
    <row r="48" spans="1:11" ht="15.75" thickBot="1">
      <c r="A48" s="1326">
        <v>40610</v>
      </c>
      <c r="B48" s="1327">
        <v>143</v>
      </c>
      <c r="C48" s="64">
        <f t="shared" si="0"/>
        <v>-4.7790663836348439E-2</v>
      </c>
    </row>
    <row r="49" spans="1:3" ht="15.75" thickBot="1">
      <c r="A49" s="1326">
        <v>40611</v>
      </c>
      <c r="B49" s="1327">
        <v>147</v>
      </c>
      <c r="C49" s="64">
        <f t="shared" si="0"/>
        <v>2.7587956518828963E-2</v>
      </c>
    </row>
    <row r="50" spans="1:3" ht="15.75" thickBot="1">
      <c r="A50" s="1326">
        <v>40612</v>
      </c>
      <c r="B50" s="1327">
        <v>157</v>
      </c>
      <c r="C50" s="64">
        <f t="shared" si="0"/>
        <v>6.5813218569571827E-2</v>
      </c>
    </row>
    <row r="51" spans="1:3" ht="15.75" thickBot="1">
      <c r="A51" s="1326">
        <v>40613</v>
      </c>
      <c r="B51" s="1327">
        <v>149</v>
      </c>
      <c r="C51" s="64">
        <f t="shared" si="0"/>
        <v>-5.2299499402848906E-2</v>
      </c>
    </row>
    <row r="52" spans="1:3" ht="15.75" thickBot="1">
      <c r="A52" s="1326">
        <v>40616</v>
      </c>
      <c r="B52" s="1327">
        <v>155</v>
      </c>
      <c r="C52" s="64">
        <f t="shared" si="0"/>
        <v>3.9478810973787422E-2</v>
      </c>
    </row>
    <row r="53" spans="1:3" ht="15.75" thickBot="1">
      <c r="A53" s="1326">
        <v>40617</v>
      </c>
      <c r="B53" s="1327">
        <v>158</v>
      </c>
      <c r="C53" s="64">
        <f t="shared" si="0"/>
        <v>1.9169916107720123E-2</v>
      </c>
    </row>
    <row r="54" spans="1:3" ht="15.75" thickBot="1">
      <c r="A54" s="1326">
        <v>40618</v>
      </c>
      <c r="B54" s="1327">
        <v>168</v>
      </c>
      <c r="C54" s="64">
        <f t="shared" si="0"/>
        <v>6.1368946376292019E-2</v>
      </c>
    </row>
    <row r="55" spans="1:3" ht="15.75" thickBot="1">
      <c r="A55" s="1326">
        <v>40619</v>
      </c>
      <c r="B55" s="1327">
        <v>164</v>
      </c>
      <c r="C55" s="64">
        <f t="shared" si="0"/>
        <v>-2.409755157906053E-2</v>
      </c>
    </row>
    <row r="56" spans="1:3" ht="15.75" thickBot="1">
      <c r="A56" s="1326">
        <v>40620</v>
      </c>
      <c r="B56" s="1327">
        <v>162</v>
      </c>
      <c r="C56" s="64">
        <f t="shared" si="0"/>
        <v>-1.2270092591814359E-2</v>
      </c>
    </row>
    <row r="57" spans="1:3" ht="15.75" thickBot="1">
      <c r="A57" s="1326">
        <v>40623</v>
      </c>
      <c r="B57" s="1327">
        <v>160</v>
      </c>
      <c r="C57" s="64">
        <f t="shared" si="0"/>
        <v>-1.2422519998557209E-2</v>
      </c>
    </row>
    <row r="58" spans="1:3" ht="15.75" thickBot="1">
      <c r="A58" s="1326">
        <v>40624</v>
      </c>
      <c r="B58" s="1327">
        <v>164</v>
      </c>
      <c r="C58" s="64">
        <f t="shared" si="0"/>
        <v>2.4692612590371414E-2</v>
      </c>
    </row>
    <row r="59" spans="1:3" ht="15.75" thickBot="1">
      <c r="A59" s="1326">
        <v>40625</v>
      </c>
      <c r="B59" s="1327">
        <v>160</v>
      </c>
      <c r="C59" s="64">
        <f t="shared" si="0"/>
        <v>-2.4692612590371522E-2</v>
      </c>
    </row>
    <row r="60" spans="1:3" ht="15.75" thickBot="1">
      <c r="A60" s="1326">
        <v>40626</v>
      </c>
      <c r="B60" s="1327">
        <v>156</v>
      </c>
      <c r="C60" s="64">
        <f t="shared" si="0"/>
        <v>-2.5317807984289897E-2</v>
      </c>
    </row>
    <row r="61" spans="1:3" ht="15.75" thickBot="1">
      <c r="A61" s="1326">
        <v>40627</v>
      </c>
      <c r="B61" s="1327">
        <v>152</v>
      </c>
      <c r="C61" s="64">
        <f t="shared" si="0"/>
        <v>-2.5975486403260677E-2</v>
      </c>
    </row>
    <row r="62" spans="1:3" ht="15.75" thickBot="1">
      <c r="A62" s="1326">
        <v>40630</v>
      </c>
      <c r="B62" s="1327">
        <v>152</v>
      </c>
      <c r="C62" s="64">
        <f t="shared" si="0"/>
        <v>0</v>
      </c>
    </row>
    <row r="63" spans="1:3" ht="15.75" thickBot="1">
      <c r="A63" s="1326">
        <v>40631</v>
      </c>
      <c r="B63" s="1327">
        <v>156</v>
      </c>
      <c r="C63" s="64">
        <f t="shared" si="0"/>
        <v>2.5975486403260736E-2</v>
      </c>
    </row>
    <row r="64" spans="1:3" ht="15.75" thickBot="1">
      <c r="A64" s="1326">
        <v>40632</v>
      </c>
      <c r="B64" s="1327">
        <v>153</v>
      </c>
      <c r="C64" s="64">
        <f t="shared" si="0"/>
        <v>-1.9418085857101627E-2</v>
      </c>
    </row>
    <row r="65" spans="1:3" ht="15.75" thickBot="1">
      <c r="A65" s="1326">
        <v>40633</v>
      </c>
      <c r="B65" s="1327">
        <v>153</v>
      </c>
      <c r="C65" s="64">
        <f t="shared" si="0"/>
        <v>0</v>
      </c>
    </row>
    <row r="66" spans="1:3" ht="15.75" thickBot="1">
      <c r="A66" s="1326">
        <v>40634</v>
      </c>
      <c r="B66" s="1327">
        <v>154</v>
      </c>
      <c r="C66" s="64">
        <f t="shared" si="0"/>
        <v>6.5146810211936723E-3</v>
      </c>
    </row>
    <row r="67" spans="1:3" ht="15.75" thickBot="1">
      <c r="A67" s="1326">
        <v>40637</v>
      </c>
      <c r="B67" s="1327">
        <v>156</v>
      </c>
      <c r="C67" s="64">
        <f t="shared" si="0"/>
        <v>1.2903404835907782E-2</v>
      </c>
    </row>
    <row r="68" spans="1:3" ht="15.75" thickBot="1">
      <c r="A68" s="1326">
        <v>40638</v>
      </c>
      <c r="B68" s="1327">
        <v>152</v>
      </c>
      <c r="C68" s="64">
        <f t="shared" ref="C68:C131" si="4">+LN(B68/B67)</f>
        <v>-2.5975486403260677E-2</v>
      </c>
    </row>
    <row r="69" spans="1:3" ht="15.75" thickBot="1">
      <c r="A69" s="1326">
        <v>40639</v>
      </c>
      <c r="B69" s="1327">
        <v>147</v>
      </c>
      <c r="C69" s="64">
        <f t="shared" si="4"/>
        <v>-3.3447934067540132E-2</v>
      </c>
    </row>
    <row r="70" spans="1:3" ht="15.75" thickBot="1">
      <c r="A70" s="1326">
        <v>40640</v>
      </c>
      <c r="B70" s="1327">
        <v>147</v>
      </c>
      <c r="C70" s="64">
        <f t="shared" si="4"/>
        <v>0</v>
      </c>
    </row>
    <row r="71" spans="1:3" ht="15.75" thickBot="1">
      <c r="A71" s="1326">
        <v>40641</v>
      </c>
      <c r="B71" s="1327">
        <v>146</v>
      </c>
      <c r="C71" s="64">
        <f t="shared" si="4"/>
        <v>-6.8259650703998706E-3</v>
      </c>
    </row>
    <row r="72" spans="1:3" ht="15.75" thickBot="1">
      <c r="A72" s="1326">
        <v>40644</v>
      </c>
      <c r="B72" s="1327">
        <v>146</v>
      </c>
      <c r="C72" s="64">
        <f t="shared" si="4"/>
        <v>0</v>
      </c>
    </row>
    <row r="73" spans="1:3" ht="15.75" thickBot="1">
      <c r="A73" s="1326">
        <v>40645</v>
      </c>
      <c r="B73" s="1327">
        <v>154</v>
      </c>
      <c r="C73" s="64">
        <f t="shared" si="4"/>
        <v>5.3345980705292714E-2</v>
      </c>
    </row>
    <row r="74" spans="1:3" ht="15.75" thickBot="1">
      <c r="A74" s="1326">
        <v>40646</v>
      </c>
      <c r="B74" s="1327">
        <v>155</v>
      </c>
      <c r="C74" s="64">
        <f t="shared" si="4"/>
        <v>6.4725145056175196E-3</v>
      </c>
    </row>
    <row r="75" spans="1:3" ht="15.75" thickBot="1">
      <c r="A75" s="1326">
        <v>40647</v>
      </c>
      <c r="B75" s="1327">
        <v>153</v>
      </c>
      <c r="C75" s="64">
        <f t="shared" si="4"/>
        <v>-1.298719552681119E-2</v>
      </c>
    </row>
    <row r="76" spans="1:3" ht="15.75" thickBot="1">
      <c r="A76" s="1326">
        <v>40648</v>
      </c>
      <c r="B76" s="1327">
        <v>155</v>
      </c>
      <c r="C76" s="64">
        <f t="shared" si="4"/>
        <v>1.2987195526811112E-2</v>
      </c>
    </row>
    <row r="77" spans="1:3" ht="15.75" thickBot="1">
      <c r="A77" s="1326">
        <v>40651</v>
      </c>
      <c r="B77" s="1327">
        <v>159</v>
      </c>
      <c r="C77" s="64">
        <f t="shared" si="4"/>
        <v>2.5479085300984968E-2</v>
      </c>
    </row>
    <row r="78" spans="1:3" ht="15.75" thickBot="1">
      <c r="A78" s="1326">
        <v>40652</v>
      </c>
      <c r="B78" s="1327">
        <v>159</v>
      </c>
      <c r="C78" s="64">
        <f t="shared" si="4"/>
        <v>0</v>
      </c>
    </row>
    <row r="79" spans="1:3" ht="15.75" thickBot="1">
      <c r="A79" s="1326">
        <v>40653</v>
      </c>
      <c r="B79" s="1327">
        <v>150</v>
      </c>
      <c r="C79" s="64">
        <f t="shared" si="4"/>
        <v>-5.8268908123975761E-2</v>
      </c>
    </row>
    <row r="80" spans="1:3" ht="15.75" thickBot="1">
      <c r="A80" s="1326">
        <v>40654</v>
      </c>
      <c r="B80" s="1327">
        <v>150</v>
      </c>
      <c r="C80" s="64">
        <f t="shared" si="4"/>
        <v>0</v>
      </c>
    </row>
    <row r="81" spans="1:3" ht="15.75" thickBot="1">
      <c r="A81" s="1326">
        <v>40658</v>
      </c>
      <c r="B81" s="1327">
        <v>154</v>
      </c>
      <c r="C81" s="64">
        <f t="shared" si="4"/>
        <v>2.6317308317373358E-2</v>
      </c>
    </row>
    <row r="82" spans="1:3" ht="15.75" thickBot="1">
      <c r="A82" s="1326">
        <v>40659</v>
      </c>
      <c r="B82" s="1327">
        <v>153</v>
      </c>
      <c r="C82" s="64">
        <f t="shared" si="4"/>
        <v>-6.5146810211936419E-3</v>
      </c>
    </row>
    <row r="83" spans="1:3" ht="15.75" thickBot="1">
      <c r="A83" s="1326">
        <v>40660</v>
      </c>
      <c r="B83" s="1327">
        <v>149</v>
      </c>
      <c r="C83" s="64">
        <f t="shared" si="4"/>
        <v>-2.6491615446976341E-2</v>
      </c>
    </row>
    <row r="84" spans="1:3" ht="15.75" thickBot="1">
      <c r="A84" s="1326">
        <v>40661</v>
      </c>
      <c r="B84" s="1327">
        <v>146</v>
      </c>
      <c r="C84" s="64">
        <f t="shared" si="4"/>
        <v>-2.0339684237122672E-2</v>
      </c>
    </row>
    <row r="85" spans="1:3" ht="15.75" thickBot="1">
      <c r="A85" s="1326">
        <v>40662</v>
      </c>
      <c r="B85" s="1327">
        <v>147</v>
      </c>
      <c r="C85" s="64">
        <f t="shared" si="4"/>
        <v>6.8259650703998906E-3</v>
      </c>
    </row>
    <row r="86" spans="1:3" ht="15.75" thickBot="1">
      <c r="A86" s="1326">
        <v>40665</v>
      </c>
      <c r="B86" s="1327">
        <v>142</v>
      </c>
      <c r="C86" s="64">
        <f t="shared" si="4"/>
        <v>-3.4605529177475607E-2</v>
      </c>
    </row>
    <row r="87" spans="1:3" ht="15.75" thickBot="1">
      <c r="A87" s="1326">
        <v>40666</v>
      </c>
      <c r="B87" s="1327">
        <v>143</v>
      </c>
      <c r="C87" s="64">
        <f t="shared" si="4"/>
        <v>7.0175726586465398E-3</v>
      </c>
    </row>
    <row r="88" spans="1:3" ht="15.75" thickBot="1">
      <c r="A88" s="1326">
        <v>40667</v>
      </c>
      <c r="B88" s="1327">
        <v>146</v>
      </c>
      <c r="C88" s="64">
        <f t="shared" si="4"/>
        <v>2.0761991448429225E-2</v>
      </c>
    </row>
    <row r="89" spans="1:3" ht="15.75" thickBot="1">
      <c r="A89" s="1326">
        <v>40668</v>
      </c>
      <c r="B89" s="1327">
        <v>146</v>
      </c>
      <c r="C89" s="64">
        <f t="shared" si="4"/>
        <v>0</v>
      </c>
    </row>
    <row r="90" spans="1:3" ht="15.75" thickBot="1">
      <c r="A90" s="1326">
        <v>40669</v>
      </c>
      <c r="B90" s="1327">
        <v>145</v>
      </c>
      <c r="C90" s="64">
        <f t="shared" si="4"/>
        <v>-6.8728792877620643E-3</v>
      </c>
    </row>
    <row r="91" spans="1:3" ht="15.75" thickBot="1">
      <c r="A91" s="1326">
        <v>40672</v>
      </c>
      <c r="B91" s="1327">
        <v>145</v>
      </c>
      <c r="C91" s="64">
        <f t="shared" si="4"/>
        <v>0</v>
      </c>
    </row>
    <row r="92" spans="1:3" ht="15.75" thickBot="1">
      <c r="A92" s="1326">
        <v>40673</v>
      </c>
      <c r="B92" s="1327">
        <v>142</v>
      </c>
      <c r="C92" s="64">
        <f t="shared" si="4"/>
        <v>-2.0906684819313712E-2</v>
      </c>
    </row>
    <row r="93" spans="1:3" ht="15.75" thickBot="1">
      <c r="A93" s="1326">
        <v>40674</v>
      </c>
      <c r="B93" s="1327">
        <v>146</v>
      </c>
      <c r="C93" s="64">
        <f t="shared" si="4"/>
        <v>2.7779564107075671E-2</v>
      </c>
    </row>
    <row r="94" spans="1:3" ht="15.75" thickBot="1">
      <c r="A94" s="1326">
        <v>40675</v>
      </c>
      <c r="B94" s="1327">
        <v>145</v>
      </c>
      <c r="C94" s="64">
        <f t="shared" si="4"/>
        <v>-6.8728792877620643E-3</v>
      </c>
    </row>
    <row r="95" spans="1:3" ht="15.75" thickBot="1">
      <c r="A95" s="1326">
        <v>40676</v>
      </c>
      <c r="B95" s="1327">
        <v>148</v>
      </c>
      <c r="C95" s="64">
        <f t="shared" si="4"/>
        <v>2.0478531343540701E-2</v>
      </c>
    </row>
    <row r="96" spans="1:3" ht="15.75" thickBot="1">
      <c r="A96" s="1326">
        <v>40679</v>
      </c>
      <c r="B96" s="1327">
        <v>152</v>
      </c>
      <c r="C96" s="64">
        <f t="shared" si="4"/>
        <v>2.6668247082161273E-2</v>
      </c>
    </row>
    <row r="97" spans="1:3" ht="15.75" thickBot="1">
      <c r="A97" s="1326">
        <v>40680</v>
      </c>
      <c r="B97" s="1327">
        <v>154</v>
      </c>
      <c r="C97" s="64">
        <f t="shared" si="4"/>
        <v>1.3072081567352701E-2</v>
      </c>
    </row>
    <row r="98" spans="1:3" ht="15.75" thickBot="1">
      <c r="A98" s="1326">
        <v>40681</v>
      </c>
      <c r="B98" s="1327">
        <v>150</v>
      </c>
      <c r="C98" s="64">
        <f t="shared" si="4"/>
        <v>-2.6317308317373417E-2</v>
      </c>
    </row>
    <row r="99" spans="1:3" ht="15.75" thickBot="1">
      <c r="A99" s="1326">
        <v>40682</v>
      </c>
      <c r="B99" s="1327">
        <v>149</v>
      </c>
      <c r="C99" s="64">
        <f t="shared" si="4"/>
        <v>-6.688988150796652E-3</v>
      </c>
    </row>
    <row r="100" spans="1:3" ht="15.75" thickBot="1">
      <c r="A100" s="1326">
        <v>40683</v>
      </c>
      <c r="B100" s="1327">
        <v>146</v>
      </c>
      <c r="C100" s="64">
        <f t="shared" si="4"/>
        <v>-2.0339684237122672E-2</v>
      </c>
    </row>
    <row r="101" spans="1:3" ht="15.75" thickBot="1">
      <c r="A101" s="1326">
        <v>40686</v>
      </c>
      <c r="B101" s="1327">
        <v>147</v>
      </c>
      <c r="C101" s="64">
        <f t="shared" si="4"/>
        <v>6.8259650703998906E-3</v>
      </c>
    </row>
    <row r="102" spans="1:3" ht="15.75" thickBot="1">
      <c r="A102" s="1326">
        <v>40687</v>
      </c>
      <c r="B102" s="1327">
        <v>148</v>
      </c>
      <c r="C102" s="64">
        <f t="shared" si="4"/>
        <v>6.7796869853787691E-3</v>
      </c>
    </row>
    <row r="103" spans="1:3" ht="15.75" thickBot="1">
      <c r="A103" s="1326">
        <v>40688</v>
      </c>
      <c r="B103" s="1327">
        <v>147</v>
      </c>
      <c r="C103" s="64">
        <f t="shared" si="4"/>
        <v>-6.7796869853788038E-3</v>
      </c>
    </row>
    <row r="104" spans="1:3" ht="15.75" thickBot="1">
      <c r="A104" s="1326">
        <v>40689</v>
      </c>
      <c r="B104" s="1327">
        <v>154</v>
      </c>
      <c r="C104" s="64">
        <f t="shared" si="4"/>
        <v>4.6520015634892907E-2</v>
      </c>
    </row>
    <row r="105" spans="1:3" ht="15.75" thickBot="1">
      <c r="A105" s="1326">
        <v>40690</v>
      </c>
      <c r="B105" s="1327">
        <v>154</v>
      </c>
      <c r="C105" s="64">
        <f t="shared" si="4"/>
        <v>0</v>
      </c>
    </row>
    <row r="106" spans="1:3" ht="15.75" thickBot="1">
      <c r="A106" s="1326">
        <v>40693</v>
      </c>
      <c r="B106" s="1327">
        <v>154</v>
      </c>
      <c r="C106" s="64">
        <f t="shared" si="4"/>
        <v>0</v>
      </c>
    </row>
    <row r="107" spans="1:3" ht="15.75" thickBot="1">
      <c r="A107" s="1326">
        <v>40694</v>
      </c>
      <c r="B107" s="1327">
        <v>144</v>
      </c>
      <c r="C107" s="64">
        <f t="shared" si="4"/>
        <v>-6.7139302837628562E-2</v>
      </c>
    </row>
    <row r="108" spans="1:3" ht="15.75" thickBot="1">
      <c r="A108" s="1326">
        <v>40695</v>
      </c>
      <c r="B108" s="1327">
        <v>142</v>
      </c>
      <c r="C108" s="64">
        <f t="shared" si="4"/>
        <v>-1.3986241974739839E-2</v>
      </c>
    </row>
    <row r="109" spans="1:3" ht="15.75" thickBot="1">
      <c r="A109" s="1326">
        <v>40696</v>
      </c>
      <c r="B109" s="1327">
        <v>139</v>
      </c>
      <c r="C109" s="64">
        <f t="shared" si="4"/>
        <v>-2.1353124470568946E-2</v>
      </c>
    </row>
    <row r="110" spans="1:3" ht="15.75" thickBot="1">
      <c r="A110" s="1326">
        <v>40697</v>
      </c>
      <c r="B110" s="1327">
        <v>142</v>
      </c>
      <c r="C110" s="64">
        <f t="shared" si="4"/>
        <v>2.1353124470569061E-2</v>
      </c>
    </row>
    <row r="111" spans="1:3" ht="15.75" thickBot="1">
      <c r="A111" s="1326">
        <v>40700</v>
      </c>
      <c r="B111" s="1327">
        <v>144</v>
      </c>
      <c r="C111" s="64">
        <f t="shared" si="4"/>
        <v>1.398624197473987E-2</v>
      </c>
    </row>
    <row r="112" spans="1:3" ht="15.75" thickBot="1">
      <c r="A112" s="1326">
        <v>40701</v>
      </c>
      <c r="B112" s="1327">
        <v>145</v>
      </c>
      <c r="C112" s="64">
        <f t="shared" si="4"/>
        <v>6.920442844573757E-3</v>
      </c>
    </row>
    <row r="113" spans="1:3" ht="15.75" thickBot="1">
      <c r="A113" s="1326">
        <v>40702</v>
      </c>
      <c r="B113" s="1327">
        <v>152</v>
      </c>
      <c r="C113" s="64">
        <f t="shared" si="4"/>
        <v>4.7146778425702078E-2</v>
      </c>
    </row>
    <row r="114" spans="1:3" ht="15.75" thickBot="1">
      <c r="A114" s="1326">
        <v>40703</v>
      </c>
      <c r="B114" s="1327">
        <v>150</v>
      </c>
      <c r="C114" s="64">
        <f t="shared" si="4"/>
        <v>-1.324522675002068E-2</v>
      </c>
    </row>
    <row r="115" spans="1:3" ht="15.75" thickBot="1">
      <c r="A115" s="1326">
        <v>40704</v>
      </c>
      <c r="B115" s="1327">
        <v>150</v>
      </c>
      <c r="C115" s="64">
        <f t="shared" si="4"/>
        <v>0</v>
      </c>
    </row>
    <row r="116" spans="1:3" ht="15.75" thickBot="1">
      <c r="A116" s="1326">
        <v>40707</v>
      </c>
      <c r="B116" s="1327">
        <v>151</v>
      </c>
      <c r="C116" s="64">
        <f t="shared" si="4"/>
        <v>6.6445427186685108E-3</v>
      </c>
    </row>
    <row r="117" spans="1:3" ht="15.75" thickBot="1">
      <c r="A117" s="1326">
        <v>40708</v>
      </c>
      <c r="B117" s="1327">
        <v>141</v>
      </c>
      <c r="C117" s="64">
        <f t="shared" si="4"/>
        <v>-6.851994643675606E-2</v>
      </c>
    </row>
    <row r="118" spans="1:3" ht="15.75" thickBot="1">
      <c r="A118" s="1326">
        <v>40709</v>
      </c>
      <c r="B118" s="1327">
        <v>149</v>
      </c>
      <c r="C118" s="64">
        <f t="shared" si="4"/>
        <v>5.5186415567290939E-2</v>
      </c>
    </row>
    <row r="119" spans="1:3" ht="15.75" thickBot="1">
      <c r="A119" s="1326">
        <v>40710</v>
      </c>
      <c r="B119" s="1327">
        <v>157</v>
      </c>
      <c r="C119" s="64">
        <f t="shared" si="4"/>
        <v>5.2299499402848844E-2</v>
      </c>
    </row>
    <row r="120" spans="1:3" ht="15.75" thickBot="1">
      <c r="A120" s="1326">
        <v>40711</v>
      </c>
      <c r="B120" s="1327">
        <v>151</v>
      </c>
      <c r="C120" s="64">
        <f t="shared" si="4"/>
        <v>-3.8965968533383723E-2</v>
      </c>
    </row>
    <row r="121" spans="1:3" ht="15.75" thickBot="1">
      <c r="A121" s="1326">
        <v>40714</v>
      </c>
      <c r="B121" s="1327">
        <v>149</v>
      </c>
      <c r="C121" s="64">
        <f t="shared" si="4"/>
        <v>-1.3333530869465144E-2</v>
      </c>
    </row>
    <row r="122" spans="1:3" ht="15.75" thickBot="1">
      <c r="A122" s="1326">
        <v>40715</v>
      </c>
      <c r="B122" s="1327">
        <v>147</v>
      </c>
      <c r="C122" s="64">
        <f t="shared" si="4"/>
        <v>-1.351371916672282E-2</v>
      </c>
    </row>
    <row r="123" spans="1:3" ht="15.75" thickBot="1">
      <c r="A123" s="1326">
        <v>40716</v>
      </c>
      <c r="B123" s="1327">
        <v>141</v>
      </c>
      <c r="C123" s="64">
        <f t="shared" si="4"/>
        <v>-4.1672696400568074E-2</v>
      </c>
    </row>
    <row r="124" spans="1:3" ht="15.75" thickBot="1">
      <c r="A124" s="1326">
        <v>40717</v>
      </c>
      <c r="B124" s="1327">
        <v>149</v>
      </c>
      <c r="C124" s="64">
        <f t="shared" si="4"/>
        <v>5.5186415567290939E-2</v>
      </c>
    </row>
    <row r="125" spans="1:3" ht="15.75" thickBot="1">
      <c r="A125" s="1326">
        <v>40718</v>
      </c>
      <c r="B125" s="1327">
        <v>152</v>
      </c>
      <c r="C125" s="64">
        <f t="shared" si="4"/>
        <v>1.9934214900817329E-2</v>
      </c>
    </row>
    <row r="126" spans="1:3" ht="15.75" thickBot="1">
      <c r="A126" s="1326">
        <v>40721</v>
      </c>
      <c r="B126" s="1327">
        <v>144</v>
      </c>
      <c r="C126" s="64">
        <f t="shared" si="4"/>
        <v>-5.4067221270275821E-2</v>
      </c>
    </row>
    <row r="127" spans="1:3" ht="15.75" thickBot="1">
      <c r="A127" s="1326">
        <v>40722</v>
      </c>
      <c r="B127" s="1327">
        <v>136</v>
      </c>
      <c r="C127" s="64">
        <f t="shared" si="4"/>
        <v>-5.7158413839948637E-2</v>
      </c>
    </row>
    <row r="128" spans="1:3" ht="15.75" thickBot="1">
      <c r="A128" s="1326">
        <v>40723</v>
      </c>
      <c r="B128" s="1327">
        <v>130</v>
      </c>
      <c r="C128" s="64">
        <f t="shared" si="4"/>
        <v>-4.5120435280469544E-2</v>
      </c>
    </row>
    <row r="129" spans="1:3" ht="15.75" thickBot="1">
      <c r="A129" s="1326">
        <v>40724</v>
      </c>
      <c r="B129" s="1327">
        <v>121</v>
      </c>
      <c r="C129" s="64">
        <f t="shared" si="4"/>
        <v>-7.1743904858841301E-2</v>
      </c>
    </row>
    <row r="130" spans="1:3" ht="15.75" thickBot="1">
      <c r="A130" s="1326">
        <v>40725</v>
      </c>
      <c r="B130" s="1327">
        <v>119</v>
      </c>
      <c r="C130" s="64">
        <f t="shared" si="4"/>
        <v>-1.6667052485211647E-2</v>
      </c>
    </row>
    <row r="131" spans="1:3" ht="15.75" thickBot="1">
      <c r="A131" s="1326">
        <v>40728</v>
      </c>
      <c r="B131" s="1327">
        <v>119</v>
      </c>
      <c r="C131" s="64">
        <f t="shared" si="4"/>
        <v>0</v>
      </c>
    </row>
    <row r="132" spans="1:3" ht="15.75" thickBot="1">
      <c r="A132" s="1326">
        <v>40729</v>
      </c>
      <c r="B132" s="1327">
        <v>132</v>
      </c>
      <c r="C132" s="64">
        <f t="shared" ref="C132:C195" si="5">+LN(B132/B131)</f>
        <v>0.10367842947484152</v>
      </c>
    </row>
    <row r="133" spans="1:3" ht="15.75" thickBot="1">
      <c r="A133" s="1326">
        <v>40730</v>
      </c>
      <c r="B133" s="1327">
        <v>135</v>
      </c>
      <c r="C133" s="64">
        <f t="shared" si="5"/>
        <v>2.2472855852058576E-2</v>
      </c>
    </row>
    <row r="134" spans="1:3" ht="15.75" thickBot="1">
      <c r="A134" s="1326">
        <v>40731</v>
      </c>
      <c r="B134" s="1327">
        <v>132</v>
      </c>
      <c r="C134" s="64">
        <f t="shared" si="5"/>
        <v>-2.2472855852058628E-2</v>
      </c>
    </row>
    <row r="135" spans="1:3" ht="15.75" thickBot="1">
      <c r="A135" s="1326">
        <v>40732</v>
      </c>
      <c r="B135" s="1327">
        <v>143</v>
      </c>
      <c r="C135" s="64">
        <f t="shared" si="5"/>
        <v>8.0042707673536356E-2</v>
      </c>
    </row>
    <row r="136" spans="1:3" ht="15.75" thickBot="1">
      <c r="A136" s="1326">
        <v>40735</v>
      </c>
      <c r="B136" s="1327">
        <v>156</v>
      </c>
      <c r="C136" s="64">
        <f t="shared" si="5"/>
        <v>8.7011376989629699E-2</v>
      </c>
    </row>
    <row r="137" spans="1:3" ht="15.75" thickBot="1">
      <c r="A137" s="1326">
        <v>40736</v>
      </c>
      <c r="B137" s="1327">
        <v>157</v>
      </c>
      <c r="C137" s="64">
        <f t="shared" si="5"/>
        <v>6.3897980987709883E-3</v>
      </c>
    </row>
    <row r="138" spans="1:3" ht="15.75" thickBot="1">
      <c r="A138" s="1326">
        <v>40737</v>
      </c>
      <c r="B138" s="1327">
        <v>157</v>
      </c>
      <c r="C138" s="64">
        <f t="shared" si="5"/>
        <v>0</v>
      </c>
    </row>
    <row r="139" spans="1:3" ht="15.75" thickBot="1">
      <c r="A139" s="1326">
        <v>40738</v>
      </c>
      <c r="B139" s="1327">
        <v>149</v>
      </c>
      <c r="C139" s="64">
        <f t="shared" si="5"/>
        <v>-5.2299499402848906E-2</v>
      </c>
    </row>
    <row r="140" spans="1:3" ht="15.75" thickBot="1">
      <c r="A140" s="1326">
        <v>40739</v>
      </c>
      <c r="B140" s="1327">
        <v>152</v>
      </c>
      <c r="C140" s="64">
        <f t="shared" si="5"/>
        <v>1.9934214900817329E-2</v>
      </c>
    </row>
    <row r="141" spans="1:3" ht="15.75" thickBot="1">
      <c r="A141" s="1326">
        <v>40742</v>
      </c>
      <c r="B141" s="1327">
        <v>149</v>
      </c>
      <c r="C141" s="64">
        <f t="shared" si="5"/>
        <v>-1.9934214900817253E-2</v>
      </c>
    </row>
    <row r="142" spans="1:3" ht="15.75" thickBot="1">
      <c r="A142" s="1326">
        <v>40743</v>
      </c>
      <c r="B142" s="1327">
        <v>151</v>
      </c>
      <c r="C142" s="64">
        <f t="shared" si="5"/>
        <v>1.3333530869465168E-2</v>
      </c>
    </row>
    <row r="143" spans="1:3" ht="15.75" thickBot="1">
      <c r="A143" s="1326">
        <v>40744</v>
      </c>
      <c r="B143" s="1327">
        <v>145</v>
      </c>
      <c r="C143" s="64">
        <f t="shared" si="5"/>
        <v>-4.0546094394349905E-2</v>
      </c>
    </row>
    <row r="144" spans="1:3" ht="15.75" thickBot="1">
      <c r="A144" s="1326">
        <v>40745</v>
      </c>
      <c r="B144" s="1327">
        <v>139</v>
      </c>
      <c r="C144" s="64">
        <f t="shared" si="5"/>
        <v>-4.2259809289882613E-2</v>
      </c>
    </row>
    <row r="145" spans="1:3" ht="15.75" thickBot="1">
      <c r="A145" s="1326">
        <v>40746</v>
      </c>
      <c r="B145" s="1327">
        <v>142</v>
      </c>
      <c r="C145" s="64">
        <f t="shared" si="5"/>
        <v>2.1353124470569061E-2</v>
      </c>
    </row>
    <row r="146" spans="1:3" ht="15.75" thickBot="1">
      <c r="A146" s="1326">
        <v>40749</v>
      </c>
      <c r="B146" s="1327">
        <v>138</v>
      </c>
      <c r="C146" s="64">
        <f t="shared" si="5"/>
        <v>-2.8573372444056E-2</v>
      </c>
    </row>
    <row r="147" spans="1:3" ht="15.75" thickBot="1">
      <c r="A147" s="1326">
        <v>40750</v>
      </c>
      <c r="B147" s="1327">
        <v>141</v>
      </c>
      <c r="C147" s="64">
        <f t="shared" si="5"/>
        <v>2.1506205220963682E-2</v>
      </c>
    </row>
    <row r="148" spans="1:3" ht="15.75" thickBot="1">
      <c r="A148" s="1326">
        <v>40751</v>
      </c>
      <c r="B148" s="1327">
        <v>135</v>
      </c>
      <c r="C148" s="64">
        <f t="shared" si="5"/>
        <v>-4.348511193973878E-2</v>
      </c>
    </row>
    <row r="149" spans="1:3" ht="15.75" thickBot="1">
      <c r="A149" s="1326">
        <v>40752</v>
      </c>
      <c r="B149" s="1327">
        <v>132</v>
      </c>
      <c r="C149" s="64">
        <f t="shared" si="5"/>
        <v>-2.2472855852058628E-2</v>
      </c>
    </row>
    <row r="150" spans="1:3" ht="15.75" thickBot="1">
      <c r="A150" s="1326">
        <v>40753</v>
      </c>
      <c r="B150" s="1327">
        <v>135</v>
      </c>
      <c r="C150" s="64">
        <f t="shared" si="5"/>
        <v>2.2472855852058576E-2</v>
      </c>
    </row>
    <row r="151" spans="1:3" ht="15.75" thickBot="1">
      <c r="A151" s="1326">
        <v>40756</v>
      </c>
      <c r="B151" s="1327">
        <v>128</v>
      </c>
      <c r="C151" s="64">
        <f t="shared" si="5"/>
        <v>-5.3244514518812243E-2</v>
      </c>
    </row>
    <row r="152" spans="1:3" ht="15.75" thickBot="1">
      <c r="A152" s="1326">
        <v>40757</v>
      </c>
      <c r="B152" s="1327">
        <v>130</v>
      </c>
      <c r="C152" s="64">
        <f t="shared" si="5"/>
        <v>1.5504186535965254E-2</v>
      </c>
    </row>
    <row r="153" spans="1:3" ht="15.75" thickBot="1">
      <c r="A153" s="1326">
        <v>40758</v>
      </c>
      <c r="B153" s="1327">
        <v>134</v>
      </c>
      <c r="C153" s="64">
        <f t="shared" si="5"/>
        <v>3.0305349495328843E-2</v>
      </c>
    </row>
    <row r="154" spans="1:3" ht="15.75" thickBot="1">
      <c r="A154" s="1326">
        <v>40759</v>
      </c>
      <c r="B154" s="1327">
        <v>149</v>
      </c>
      <c r="C154" s="64">
        <f t="shared" si="5"/>
        <v>0.10610650599454777</v>
      </c>
    </row>
    <row r="155" spans="1:3" ht="15.75" thickBot="1">
      <c r="A155" s="1326">
        <v>40760</v>
      </c>
      <c r="B155" s="1327">
        <v>148</v>
      </c>
      <c r="C155" s="64">
        <f t="shared" si="5"/>
        <v>-6.7340321813440683E-3</v>
      </c>
    </row>
    <row r="156" spans="1:3" ht="15.75" thickBot="1">
      <c r="A156" s="1326">
        <v>40763</v>
      </c>
      <c r="B156" s="1327">
        <v>178</v>
      </c>
      <c r="C156" s="64">
        <f t="shared" si="5"/>
        <v>0.18457127652797004</v>
      </c>
    </row>
    <row r="157" spans="1:3" ht="15.75" thickBot="1">
      <c r="A157" s="1326">
        <v>40764</v>
      </c>
      <c r="B157" s="1327">
        <v>187</v>
      </c>
      <c r="C157" s="64">
        <f t="shared" si="5"/>
        <v>4.9325066562501491E-2</v>
      </c>
    </row>
    <row r="158" spans="1:3" ht="15.75" thickBot="1">
      <c r="A158" s="1326">
        <v>40765</v>
      </c>
      <c r="B158" s="1327">
        <v>196</v>
      </c>
      <c r="C158" s="64">
        <f t="shared" si="5"/>
        <v>4.7006042375930576E-2</v>
      </c>
    </row>
    <row r="159" spans="1:3" ht="15.75" thickBot="1">
      <c r="A159" s="1326">
        <v>40766</v>
      </c>
      <c r="B159" s="1327">
        <v>194</v>
      </c>
      <c r="C159" s="64">
        <f t="shared" si="5"/>
        <v>-1.025650016718911E-2</v>
      </c>
    </row>
    <row r="160" spans="1:3" ht="15.75" thickBot="1">
      <c r="A160" s="1326">
        <v>40767</v>
      </c>
      <c r="B160" s="1327">
        <v>192</v>
      </c>
      <c r="C160" s="64">
        <f t="shared" si="5"/>
        <v>-1.0362787035546547E-2</v>
      </c>
    </row>
    <row r="161" spans="1:3" ht="15.75" thickBot="1">
      <c r="A161" s="1326">
        <v>40770</v>
      </c>
      <c r="B161" s="1327">
        <v>183</v>
      </c>
      <c r="C161" s="64">
        <f t="shared" si="5"/>
        <v>-4.8009219186360606E-2</v>
      </c>
    </row>
    <row r="162" spans="1:3" ht="15.75" thickBot="1">
      <c r="A162" s="1326">
        <v>40771</v>
      </c>
      <c r="B162" s="1327">
        <v>188</v>
      </c>
      <c r="C162" s="64">
        <f t="shared" si="5"/>
        <v>2.6955809988528295E-2</v>
      </c>
    </row>
    <row r="163" spans="1:3" ht="15.75" thickBot="1">
      <c r="A163" s="1326">
        <v>40772</v>
      </c>
      <c r="B163" s="1327">
        <v>175</v>
      </c>
      <c r="C163" s="64">
        <f t="shared" si="5"/>
        <v>-7.1655988906435167E-2</v>
      </c>
    </row>
    <row r="164" spans="1:3" ht="15.75" thickBot="1">
      <c r="A164" s="1326">
        <v>40773</v>
      </c>
      <c r="B164" s="1327">
        <v>186</v>
      </c>
      <c r="C164" s="64">
        <f t="shared" si="5"/>
        <v>6.0960699789687274E-2</v>
      </c>
    </row>
    <row r="165" spans="1:3" ht="15.75" thickBot="1">
      <c r="A165" s="1326">
        <v>40774</v>
      </c>
      <c r="B165" s="1327">
        <v>186</v>
      </c>
      <c r="C165" s="64">
        <f t="shared" si="5"/>
        <v>0</v>
      </c>
    </row>
    <row r="166" spans="1:3" ht="15.75" thickBot="1">
      <c r="A166" s="1326">
        <v>40777</v>
      </c>
      <c r="B166" s="1327">
        <v>183</v>
      </c>
      <c r="C166" s="64">
        <f t="shared" si="5"/>
        <v>-1.6260520871780291E-2</v>
      </c>
    </row>
    <row r="167" spans="1:3" ht="15.75" thickBot="1">
      <c r="A167" s="1326">
        <v>40778</v>
      </c>
      <c r="B167" s="1327">
        <v>181</v>
      </c>
      <c r="C167" s="64">
        <f t="shared" si="5"/>
        <v>-1.0989121575595206E-2</v>
      </c>
    </row>
    <row r="168" spans="1:3" ht="15.75" thickBot="1">
      <c r="A168" s="1326">
        <v>40779</v>
      </c>
      <c r="B168" s="1327">
        <v>172</v>
      </c>
      <c r="C168" s="64">
        <f t="shared" si="5"/>
        <v>-5.1002554452372686E-2</v>
      </c>
    </row>
    <row r="169" spans="1:3" ht="15.75" thickBot="1">
      <c r="A169" s="1326">
        <v>40780</v>
      </c>
      <c r="B169" s="1327">
        <v>179</v>
      </c>
      <c r="C169" s="64">
        <f t="shared" si="5"/>
        <v>3.9891329027302025E-2</v>
      </c>
    </row>
    <row r="170" spans="1:3" ht="15.75" thickBot="1">
      <c r="A170" s="1326">
        <v>40781</v>
      </c>
      <c r="B170" s="1327">
        <v>184</v>
      </c>
      <c r="C170" s="64">
        <f t="shared" si="5"/>
        <v>2.7549951768230649E-2</v>
      </c>
    </row>
    <row r="171" spans="1:3" ht="15.75" thickBot="1">
      <c r="A171" s="1326">
        <v>40784</v>
      </c>
      <c r="B171" s="1327">
        <v>175</v>
      </c>
      <c r="C171" s="64">
        <f t="shared" si="5"/>
        <v>-5.0149783685471558E-2</v>
      </c>
    </row>
    <row r="172" spans="1:3" ht="15.75" thickBot="1">
      <c r="A172" s="1326">
        <v>40785</v>
      </c>
      <c r="B172" s="1327">
        <v>178</v>
      </c>
      <c r="C172" s="64">
        <f t="shared" si="5"/>
        <v>1.6997576368571077E-2</v>
      </c>
    </row>
    <row r="173" spans="1:3" ht="15.75" thickBot="1">
      <c r="A173" s="1326">
        <v>40786</v>
      </c>
      <c r="B173" s="1327">
        <v>168</v>
      </c>
      <c r="C173" s="64">
        <f t="shared" si="5"/>
        <v>-5.7819570888826249E-2</v>
      </c>
    </row>
    <row r="174" spans="1:3" ht="15.75" thickBot="1">
      <c r="A174" s="1326">
        <v>40787</v>
      </c>
      <c r="B174" s="1327">
        <v>178</v>
      </c>
      <c r="C174" s="64">
        <f t="shared" si="5"/>
        <v>5.7819570888826236E-2</v>
      </c>
    </row>
    <row r="175" spans="1:3" ht="15.75" thickBot="1">
      <c r="A175" s="1326">
        <v>40788</v>
      </c>
      <c r="B175" s="1327">
        <v>188</v>
      </c>
      <c r="C175" s="64">
        <f t="shared" si="5"/>
        <v>5.4658412537863979E-2</v>
      </c>
    </row>
    <row r="176" spans="1:3" ht="15.75" thickBot="1">
      <c r="A176" s="1326">
        <v>40791</v>
      </c>
      <c r="B176" s="1327">
        <v>188</v>
      </c>
      <c r="C176" s="64">
        <f t="shared" si="5"/>
        <v>0</v>
      </c>
    </row>
    <row r="177" spans="1:3" ht="15.75" thickBot="1">
      <c r="A177" s="1326">
        <v>40792</v>
      </c>
      <c r="B177" s="1327">
        <v>191</v>
      </c>
      <c r="C177" s="64">
        <f t="shared" si="5"/>
        <v>1.5831465216680662E-2</v>
      </c>
    </row>
    <row r="178" spans="1:3" ht="15.75" thickBot="1">
      <c r="A178" s="1326">
        <v>40793</v>
      </c>
      <c r="B178" s="1327">
        <v>189</v>
      </c>
      <c r="C178" s="64">
        <f t="shared" si="5"/>
        <v>-1.0526412986987504E-2</v>
      </c>
    </row>
    <row r="179" spans="1:3" ht="15.75" thickBot="1">
      <c r="A179" s="1326">
        <v>40794</v>
      </c>
      <c r="B179" s="1327">
        <v>196</v>
      </c>
      <c r="C179" s="64">
        <f t="shared" si="5"/>
        <v>3.6367644170874791E-2</v>
      </c>
    </row>
    <row r="180" spans="1:3" ht="15.75" thickBot="1">
      <c r="A180" s="1326">
        <v>40795</v>
      </c>
      <c r="B180" s="1327">
        <v>208</v>
      </c>
      <c r="C180" s="64">
        <f t="shared" si="5"/>
        <v>5.9423420470800806E-2</v>
      </c>
    </row>
    <row r="181" spans="1:3" ht="15.75" thickBot="1">
      <c r="A181" s="1326">
        <v>40798</v>
      </c>
      <c r="B181" s="1327">
        <v>213</v>
      </c>
      <c r="C181" s="64">
        <f t="shared" si="5"/>
        <v>2.3754086008107057E-2</v>
      </c>
    </row>
    <row r="182" spans="1:3" ht="15.75" thickBot="1">
      <c r="A182" s="1326">
        <v>40799</v>
      </c>
      <c r="B182" s="1327">
        <v>209</v>
      </c>
      <c r="C182" s="64">
        <f t="shared" si="5"/>
        <v>-1.8957913744614158E-2</v>
      </c>
    </row>
    <row r="183" spans="1:3" ht="15.75" thickBot="1">
      <c r="A183" s="1326">
        <v>40800</v>
      </c>
      <c r="B183" s="1327">
        <v>211</v>
      </c>
      <c r="C183" s="64">
        <f t="shared" si="5"/>
        <v>9.523881511255541E-3</v>
      </c>
    </row>
    <row r="184" spans="1:3" ht="15.75" thickBot="1">
      <c r="A184" s="1326">
        <v>40801</v>
      </c>
      <c r="B184" s="1327">
        <v>205</v>
      </c>
      <c r="C184" s="64">
        <f t="shared" si="5"/>
        <v>-2.8848154337658277E-2</v>
      </c>
    </row>
    <row r="185" spans="1:3" ht="15.75" thickBot="1">
      <c r="A185" s="1326">
        <v>40802</v>
      </c>
      <c r="B185" s="1327">
        <v>207</v>
      </c>
      <c r="C185" s="64">
        <f t="shared" si="5"/>
        <v>9.7088141269609032E-3</v>
      </c>
    </row>
    <row r="186" spans="1:3" ht="15.75" thickBot="1">
      <c r="A186" s="1326">
        <v>40805</v>
      </c>
      <c r="B186" s="1327">
        <v>224</v>
      </c>
      <c r="C186" s="64">
        <f t="shared" si="5"/>
        <v>7.8927258589670701E-2</v>
      </c>
    </row>
    <row r="187" spans="1:3" ht="15.75" thickBot="1">
      <c r="A187" s="1326">
        <v>40806</v>
      </c>
      <c r="B187" s="1327">
        <v>218</v>
      </c>
      <c r="C187" s="64">
        <f t="shared" si="5"/>
        <v>-2.715098906595086E-2</v>
      </c>
    </row>
    <row r="188" spans="1:3" ht="15.75" thickBot="1">
      <c r="A188" s="1326">
        <v>40807</v>
      </c>
      <c r="B188" s="1327">
        <v>227</v>
      </c>
      <c r="C188" s="64">
        <f t="shared" si="5"/>
        <v>4.0454954692313749E-2</v>
      </c>
    </row>
    <row r="189" spans="1:3" ht="15.75" thickBot="1">
      <c r="A189" s="1326">
        <v>40808</v>
      </c>
      <c r="B189" s="1327">
        <v>255</v>
      </c>
      <c r="C189" s="64">
        <f t="shared" si="5"/>
        <v>0.11631352767702353</v>
      </c>
    </row>
    <row r="190" spans="1:3" ht="15.75" thickBot="1">
      <c r="A190" s="1326">
        <v>40809</v>
      </c>
      <c r="B190" s="1327">
        <v>252</v>
      </c>
      <c r="C190" s="64">
        <f t="shared" si="5"/>
        <v>-1.1834457647002796E-2</v>
      </c>
    </row>
    <row r="191" spans="1:3" ht="15.75" thickBot="1">
      <c r="A191" s="1326">
        <v>40812</v>
      </c>
      <c r="B191" s="1327">
        <v>257</v>
      </c>
      <c r="C191" s="64">
        <f t="shared" si="5"/>
        <v>1.9646997383796421E-2</v>
      </c>
    </row>
    <row r="192" spans="1:3" ht="15.75" thickBot="1">
      <c r="A192" s="1326">
        <v>40813</v>
      </c>
      <c r="B192" s="1327">
        <v>243</v>
      </c>
      <c r="C192" s="64">
        <f t="shared" si="5"/>
        <v>-5.6014641554671368E-2</v>
      </c>
    </row>
    <row r="193" spans="1:3" ht="15.75" thickBot="1">
      <c r="A193" s="1326">
        <v>40814</v>
      </c>
      <c r="B193" s="1327">
        <v>244</v>
      </c>
      <c r="C193" s="64">
        <f t="shared" si="5"/>
        <v>4.1067819526535024E-3</v>
      </c>
    </row>
    <row r="194" spans="1:3" ht="15.75" thickBot="1">
      <c r="A194" s="1326">
        <v>40815</v>
      </c>
      <c r="B194" s="1327">
        <v>242</v>
      </c>
      <c r="C194" s="64">
        <f t="shared" si="5"/>
        <v>-8.23049913651548E-3</v>
      </c>
    </row>
    <row r="195" spans="1:3" ht="15.75" thickBot="1">
      <c r="A195" s="1326">
        <v>40816</v>
      </c>
      <c r="B195" s="1327">
        <v>244</v>
      </c>
      <c r="C195" s="64">
        <f t="shared" si="5"/>
        <v>8.2304991365154435E-3</v>
      </c>
    </row>
    <row r="196" spans="1:3" ht="15.75" thickBot="1">
      <c r="A196" s="1326">
        <v>40819</v>
      </c>
      <c r="B196" s="1327">
        <v>258</v>
      </c>
      <c r="C196" s="64">
        <f t="shared" ref="C196:C259" si="6">+LN(B196/B195)</f>
        <v>5.5791359628415513E-2</v>
      </c>
    </row>
    <row r="197" spans="1:3" ht="15.75" thickBot="1">
      <c r="A197" s="1326">
        <v>40820</v>
      </c>
      <c r="B197" s="1327">
        <v>259</v>
      </c>
      <c r="C197" s="64">
        <f t="shared" si="6"/>
        <v>3.8684767779203319E-3</v>
      </c>
    </row>
    <row r="198" spans="1:3" ht="15.75" thickBot="1">
      <c r="A198" s="1326">
        <v>40821</v>
      </c>
      <c r="B198" s="1327">
        <v>251</v>
      </c>
      <c r="C198" s="64">
        <f t="shared" si="6"/>
        <v>-3.1375122567753912E-2</v>
      </c>
    </row>
    <row r="199" spans="1:3" ht="15.75" thickBot="1">
      <c r="A199" s="1326">
        <v>40822</v>
      </c>
      <c r="B199" s="1327">
        <v>238</v>
      </c>
      <c r="C199" s="64">
        <f t="shared" si="6"/>
        <v>-5.3182265460309144E-2</v>
      </c>
    </row>
    <row r="200" spans="1:3" ht="15.75" thickBot="1">
      <c r="A200" s="1326">
        <v>40823</v>
      </c>
      <c r="B200" s="1327">
        <v>233</v>
      </c>
      <c r="C200" s="64">
        <f t="shared" si="6"/>
        <v>-2.1232220105774167E-2</v>
      </c>
    </row>
    <row r="201" spans="1:3" ht="15.75" thickBot="1">
      <c r="A201" s="1326">
        <v>40826</v>
      </c>
      <c r="B201" s="1327">
        <v>233</v>
      </c>
      <c r="C201" s="64">
        <f t="shared" si="6"/>
        <v>0</v>
      </c>
    </row>
    <row r="202" spans="1:3" ht="15.75" thickBot="1">
      <c r="A202" s="1326">
        <v>40827</v>
      </c>
      <c r="B202" s="1327">
        <v>211</v>
      </c>
      <c r="C202" s="64">
        <f t="shared" si="6"/>
        <v>-9.9180320089634094E-2</v>
      </c>
    </row>
    <row r="203" spans="1:3" ht="15.75" thickBot="1">
      <c r="A203" s="1326">
        <v>40828</v>
      </c>
      <c r="B203" s="1327">
        <v>196</v>
      </c>
      <c r="C203" s="64">
        <f t="shared" si="6"/>
        <v>-7.3743474245549223E-2</v>
      </c>
    </row>
    <row r="204" spans="1:3" ht="15.75" thickBot="1">
      <c r="A204" s="1326">
        <v>40829</v>
      </c>
      <c r="B204" s="1327">
        <v>203</v>
      </c>
      <c r="C204" s="64">
        <f t="shared" si="6"/>
        <v>3.5091319811270193E-2</v>
      </c>
    </row>
    <row r="205" spans="1:3" ht="15.75" thickBot="1">
      <c r="A205" s="1326">
        <v>40830</v>
      </c>
      <c r="B205" s="1327">
        <v>194</v>
      </c>
      <c r="C205" s="64">
        <f t="shared" si="6"/>
        <v>-4.5347819978459145E-2</v>
      </c>
    </row>
    <row r="206" spans="1:3" ht="15.75" thickBot="1">
      <c r="A206" s="1326">
        <v>40833</v>
      </c>
      <c r="B206" s="1327">
        <v>200</v>
      </c>
      <c r="C206" s="64">
        <f t="shared" si="6"/>
        <v>3.0459207484708439E-2</v>
      </c>
    </row>
    <row r="207" spans="1:3" ht="15.75" thickBot="1">
      <c r="A207" s="1326">
        <v>40834</v>
      </c>
      <c r="B207" s="1327">
        <v>200</v>
      </c>
      <c r="C207" s="64">
        <f t="shared" si="6"/>
        <v>0</v>
      </c>
    </row>
    <row r="208" spans="1:3" ht="15.75" thickBot="1">
      <c r="A208" s="1326">
        <v>40835</v>
      </c>
      <c r="B208" s="1327">
        <v>203</v>
      </c>
      <c r="C208" s="64">
        <f t="shared" si="6"/>
        <v>1.4888612493750559E-2</v>
      </c>
    </row>
    <row r="209" spans="1:3" ht="15.75" thickBot="1">
      <c r="A209" s="1326">
        <v>40836</v>
      </c>
      <c r="B209" s="1327">
        <v>205</v>
      </c>
      <c r="C209" s="64">
        <f t="shared" si="6"/>
        <v>9.8040000966208348E-3</v>
      </c>
    </row>
    <row r="210" spans="1:3" ht="15.75" thickBot="1">
      <c r="A210" s="1326">
        <v>40837</v>
      </c>
      <c r="B210" s="1327">
        <v>200</v>
      </c>
      <c r="C210" s="64">
        <f t="shared" si="6"/>
        <v>-2.4692612590371522E-2</v>
      </c>
    </row>
    <row r="211" spans="1:3" ht="15.75" thickBot="1">
      <c r="A211" s="1326">
        <v>40840</v>
      </c>
      <c r="B211" s="1327">
        <v>199</v>
      </c>
      <c r="C211" s="64">
        <f t="shared" si="6"/>
        <v>-5.0125418235442863E-3</v>
      </c>
    </row>
    <row r="212" spans="1:3" ht="15.75" thickBot="1">
      <c r="A212" s="1326">
        <v>40841</v>
      </c>
      <c r="B212" s="1327">
        <v>208</v>
      </c>
      <c r="C212" s="64">
        <f t="shared" si="6"/>
        <v>4.4233254976825662E-2</v>
      </c>
    </row>
    <row r="213" spans="1:3" ht="15.75" thickBot="1">
      <c r="A213" s="1326">
        <v>40842</v>
      </c>
      <c r="B213" s="1327">
        <v>198</v>
      </c>
      <c r="C213" s="64">
        <f t="shared" si="6"/>
        <v>-4.9271049006782794E-2</v>
      </c>
    </row>
    <row r="214" spans="1:3" ht="15.75" thickBot="1">
      <c r="A214" s="1326">
        <v>40843</v>
      </c>
      <c r="B214" s="1327">
        <v>174</v>
      </c>
      <c r="C214" s="64">
        <f t="shared" si="6"/>
        <v>-0.12921173148000623</v>
      </c>
    </row>
    <row r="215" spans="1:3" ht="15.75" thickBot="1">
      <c r="A215" s="1326">
        <v>40844</v>
      </c>
      <c r="B215" s="1327">
        <v>184</v>
      </c>
      <c r="C215" s="64">
        <f t="shared" si="6"/>
        <v>5.5880458394456628E-2</v>
      </c>
    </row>
    <row r="216" spans="1:3" ht="15.75" thickBot="1">
      <c r="A216" s="1326">
        <v>40847</v>
      </c>
      <c r="B216" s="1327">
        <v>193</v>
      </c>
      <c r="C216" s="64">
        <f t="shared" si="6"/>
        <v>4.7754431295900034E-2</v>
      </c>
    </row>
    <row r="217" spans="1:3" ht="15.75" thickBot="1">
      <c r="A217" s="1326">
        <v>40848</v>
      </c>
      <c r="B217" s="1327">
        <v>200</v>
      </c>
      <c r="C217" s="64">
        <f t="shared" si="6"/>
        <v>3.5627177643151035E-2</v>
      </c>
    </row>
    <row r="218" spans="1:3" ht="15.75" thickBot="1">
      <c r="A218" s="1326">
        <v>40849</v>
      </c>
      <c r="B218" s="1327">
        <v>198</v>
      </c>
      <c r="C218" s="64">
        <f t="shared" si="6"/>
        <v>-1.0050335853501451E-2</v>
      </c>
    </row>
    <row r="219" spans="1:3" ht="15.75" thickBot="1">
      <c r="A219" s="1326">
        <v>40850</v>
      </c>
      <c r="B219" s="1327">
        <v>184</v>
      </c>
      <c r="C219" s="64">
        <f t="shared" si="6"/>
        <v>-7.3331273085549625E-2</v>
      </c>
    </row>
    <row r="220" spans="1:3" ht="15.75" thickBot="1">
      <c r="A220" s="1326">
        <v>40851</v>
      </c>
      <c r="B220" s="1327">
        <v>186</v>
      </c>
      <c r="C220" s="64">
        <f t="shared" si="6"/>
        <v>1.0810916104215676E-2</v>
      </c>
    </row>
    <row r="221" spans="1:3" ht="15.75" thickBot="1">
      <c r="A221" s="1326">
        <v>40854</v>
      </c>
      <c r="B221" s="1327">
        <v>191</v>
      </c>
      <c r="C221" s="64">
        <f t="shared" si="6"/>
        <v>2.6526754333428604E-2</v>
      </c>
    </row>
    <row r="222" spans="1:3" ht="15.75" thickBot="1">
      <c r="A222" s="1326">
        <v>40855</v>
      </c>
      <c r="B222" s="1327">
        <v>185</v>
      </c>
      <c r="C222" s="64">
        <f t="shared" si="6"/>
        <v>-3.1917602968305085E-2</v>
      </c>
    </row>
    <row r="223" spans="1:3" ht="15.75" thickBot="1">
      <c r="A223" s="1326">
        <v>40856</v>
      </c>
      <c r="B223" s="1327">
        <v>200</v>
      </c>
      <c r="C223" s="64">
        <f t="shared" si="6"/>
        <v>7.7961541469711917E-2</v>
      </c>
    </row>
    <row r="224" spans="1:3" ht="15.75" thickBot="1">
      <c r="A224" s="1326">
        <v>40857</v>
      </c>
      <c r="B224" s="1327">
        <v>190</v>
      </c>
      <c r="C224" s="64">
        <f t="shared" si="6"/>
        <v>-5.1293294387550578E-2</v>
      </c>
    </row>
    <row r="225" spans="1:3" ht="15.75" thickBot="1">
      <c r="A225" s="1326">
        <v>40858</v>
      </c>
      <c r="B225" s="1327">
        <v>190</v>
      </c>
      <c r="C225" s="64">
        <f t="shared" si="6"/>
        <v>0</v>
      </c>
    </row>
    <row r="226" spans="1:3" ht="15.75" thickBot="1">
      <c r="A226" s="1326">
        <v>40861</v>
      </c>
      <c r="B226" s="1327">
        <v>193</v>
      </c>
      <c r="C226" s="64">
        <f t="shared" si="6"/>
        <v>1.5666116744399456E-2</v>
      </c>
    </row>
    <row r="227" spans="1:3" ht="15.75" thickBot="1">
      <c r="A227" s="1326">
        <v>40862</v>
      </c>
      <c r="B227" s="1327">
        <v>192</v>
      </c>
      <c r="C227" s="64">
        <f t="shared" si="6"/>
        <v>-5.1948168771040228E-3</v>
      </c>
    </row>
    <row r="228" spans="1:3" ht="15.75" thickBot="1">
      <c r="A228" s="1326">
        <v>40863</v>
      </c>
      <c r="B228" s="1327">
        <v>193</v>
      </c>
      <c r="C228" s="64">
        <f t="shared" si="6"/>
        <v>5.19481687710393E-3</v>
      </c>
    </row>
    <row r="229" spans="1:3" ht="15.75" thickBot="1">
      <c r="A229" s="1326">
        <v>40864</v>
      </c>
      <c r="B229" s="1327">
        <v>203</v>
      </c>
      <c r="C229" s="64">
        <f t="shared" si="6"/>
        <v>5.0515790136901745E-2</v>
      </c>
    </row>
    <row r="230" spans="1:3" ht="15.75" thickBot="1">
      <c r="A230" s="1326">
        <v>40865</v>
      </c>
      <c r="B230" s="1327">
        <v>201</v>
      </c>
      <c r="C230" s="64">
        <f t="shared" si="6"/>
        <v>-9.9010709827115698E-3</v>
      </c>
    </row>
    <row r="231" spans="1:3" ht="15.75" thickBot="1">
      <c r="A231" s="1326">
        <v>40868</v>
      </c>
      <c r="B231" s="1327">
        <v>209</v>
      </c>
      <c r="C231" s="64">
        <f t="shared" si="6"/>
        <v>3.9029343905735293E-2</v>
      </c>
    </row>
    <row r="232" spans="1:3" ht="15.75" thickBot="1">
      <c r="A232" s="1326">
        <v>40869</v>
      </c>
      <c r="B232" s="1327">
        <v>213</v>
      </c>
      <c r="C232" s="64">
        <f t="shared" si="6"/>
        <v>1.8957913744614207E-2</v>
      </c>
    </row>
    <row r="233" spans="1:3" ht="15.75" thickBot="1">
      <c r="A233" s="1326">
        <v>40870</v>
      </c>
      <c r="B233" s="1327">
        <v>221</v>
      </c>
      <c r="C233" s="64">
        <f t="shared" si="6"/>
        <v>3.6870535808327796E-2</v>
      </c>
    </row>
    <row r="234" spans="1:3" ht="15.75" thickBot="1">
      <c r="A234" s="1326">
        <v>40871</v>
      </c>
      <c r="B234" s="1327">
        <v>221</v>
      </c>
      <c r="C234" s="64">
        <f t="shared" si="6"/>
        <v>0</v>
      </c>
    </row>
    <row r="235" spans="1:3" ht="15.75" thickBot="1">
      <c r="A235" s="1326">
        <v>40872</v>
      </c>
      <c r="B235" s="1327">
        <v>214</v>
      </c>
      <c r="C235" s="64">
        <f t="shared" si="6"/>
        <v>-3.2186686495901333E-2</v>
      </c>
    </row>
    <row r="236" spans="1:3" ht="15.75" thickBot="1">
      <c r="A236" s="1326">
        <v>40875</v>
      </c>
      <c r="B236" s="1327">
        <v>214</v>
      </c>
      <c r="C236" s="64">
        <f t="shared" si="6"/>
        <v>0</v>
      </c>
    </row>
    <row r="237" spans="1:3" ht="15.75" thickBot="1">
      <c r="A237" s="1326">
        <v>40876</v>
      </c>
      <c r="B237" s="1327">
        <v>213</v>
      </c>
      <c r="C237" s="64">
        <f t="shared" si="6"/>
        <v>-4.6838493124263143E-3</v>
      </c>
    </row>
    <row r="238" spans="1:3" ht="15.75" thickBot="1">
      <c r="A238" s="1326">
        <v>40877</v>
      </c>
      <c r="B238" s="1327">
        <v>203</v>
      </c>
      <c r="C238" s="64">
        <f t="shared" si="6"/>
        <v>-4.8086186667637795E-2</v>
      </c>
    </row>
    <row r="239" spans="1:3" ht="15.75" thickBot="1">
      <c r="A239" s="1326">
        <v>40878</v>
      </c>
      <c r="B239" s="1327">
        <v>194</v>
      </c>
      <c r="C239" s="64">
        <f t="shared" si="6"/>
        <v>-4.5347819978459145E-2</v>
      </c>
    </row>
    <row r="240" spans="1:3" ht="15.75" thickBot="1">
      <c r="A240" s="1326">
        <v>40879</v>
      </c>
      <c r="B240" s="1327">
        <v>196</v>
      </c>
      <c r="C240" s="64">
        <f t="shared" si="6"/>
        <v>1.0256500167189061E-2</v>
      </c>
    </row>
    <row r="241" spans="1:3" ht="15.75" thickBot="1">
      <c r="A241" s="1326">
        <v>40882</v>
      </c>
      <c r="B241" s="1327">
        <v>192</v>
      </c>
      <c r="C241" s="64">
        <f t="shared" si="6"/>
        <v>-2.0619287202735703E-2</v>
      </c>
    </row>
    <row r="242" spans="1:3" ht="15.75" thickBot="1">
      <c r="A242" s="1326">
        <v>40883</v>
      </c>
      <c r="B242" s="1327">
        <v>185</v>
      </c>
      <c r="C242" s="64">
        <f t="shared" si="6"/>
        <v>-3.7139546949456766E-2</v>
      </c>
    </row>
    <row r="243" spans="1:3" ht="15.75" thickBot="1">
      <c r="A243" s="1326">
        <v>40884</v>
      </c>
      <c r="B243" s="1327">
        <v>192</v>
      </c>
      <c r="C243" s="64">
        <f t="shared" si="6"/>
        <v>3.7139546949456786E-2</v>
      </c>
    </row>
    <row r="244" spans="1:3" ht="15.75" thickBot="1">
      <c r="A244" s="1326">
        <v>40885</v>
      </c>
      <c r="B244" s="1327">
        <v>195</v>
      </c>
      <c r="C244" s="64">
        <f t="shared" si="6"/>
        <v>1.5504186535965254E-2</v>
      </c>
    </row>
    <row r="245" spans="1:3" ht="15.75" thickBot="1">
      <c r="A245" s="1326">
        <v>40886</v>
      </c>
      <c r="B245" s="1327">
        <v>185</v>
      </c>
      <c r="C245" s="64">
        <f t="shared" si="6"/>
        <v>-5.2643733485422027E-2</v>
      </c>
    </row>
    <row r="246" spans="1:3" ht="15.75" thickBot="1">
      <c r="A246" s="1326">
        <v>40889</v>
      </c>
      <c r="B246" s="1327">
        <v>188</v>
      </c>
      <c r="C246" s="64">
        <f t="shared" si="6"/>
        <v>1.6086137751624444E-2</v>
      </c>
    </row>
    <row r="247" spans="1:3" ht="15.75" thickBot="1">
      <c r="A247" s="1326">
        <v>40890</v>
      </c>
      <c r="B247" s="1327">
        <v>189</v>
      </c>
      <c r="C247" s="64">
        <f t="shared" si="6"/>
        <v>5.3050522296930981E-3</v>
      </c>
    </row>
    <row r="248" spans="1:3" ht="15.75" thickBot="1">
      <c r="A248" s="1326">
        <v>40891</v>
      </c>
      <c r="B248" s="1327">
        <v>195</v>
      </c>
      <c r="C248" s="64">
        <f t="shared" si="6"/>
        <v>3.125254350410453E-2</v>
      </c>
    </row>
    <row r="249" spans="1:3" ht="15.75" thickBot="1">
      <c r="A249" s="1326">
        <v>40892</v>
      </c>
      <c r="B249" s="1327">
        <v>195</v>
      </c>
      <c r="C249" s="64">
        <f t="shared" si="6"/>
        <v>0</v>
      </c>
    </row>
    <row r="250" spans="1:3" ht="15.75" thickBot="1">
      <c r="A250" s="1326">
        <v>40893</v>
      </c>
      <c r="B250" s="1327">
        <v>202</v>
      </c>
      <c r="C250" s="64">
        <f t="shared" si="6"/>
        <v>3.5268138837458052E-2</v>
      </c>
    </row>
    <row r="251" spans="1:3" ht="15.75" thickBot="1">
      <c r="A251" s="1326">
        <v>40896</v>
      </c>
      <c r="B251" s="1327">
        <v>205</v>
      </c>
      <c r="C251" s="64">
        <f t="shared" si="6"/>
        <v>1.4742281737203431E-2</v>
      </c>
    </row>
    <row r="252" spans="1:3" ht="15.75" thickBot="1">
      <c r="A252" s="1326">
        <v>40897</v>
      </c>
      <c r="B252" s="1327">
        <v>195</v>
      </c>
      <c r="C252" s="64">
        <f t="shared" si="6"/>
        <v>-5.0010420574661422E-2</v>
      </c>
    </row>
    <row r="253" spans="1:3" ht="15.75" thickBot="1">
      <c r="A253" s="1326">
        <v>40898</v>
      </c>
      <c r="B253" s="1327">
        <v>190</v>
      </c>
      <c r="C253" s="64">
        <f t="shared" si="6"/>
        <v>-2.5975486403260677E-2</v>
      </c>
    </row>
    <row r="254" spans="1:3" ht="15.75" thickBot="1">
      <c r="A254" s="1326">
        <v>40899</v>
      </c>
      <c r="B254" s="1327">
        <v>191</v>
      </c>
      <c r="C254" s="64">
        <f t="shared" si="6"/>
        <v>5.249355886143745E-3</v>
      </c>
    </row>
    <row r="255" spans="1:3" ht="15.75" thickBot="1">
      <c r="A255" s="1326">
        <v>40900</v>
      </c>
      <c r="B255" s="1327">
        <v>183</v>
      </c>
      <c r="C255" s="64">
        <f t="shared" si="6"/>
        <v>-4.2787275205208981E-2</v>
      </c>
    </row>
    <row r="256" spans="1:3" ht="15.75" thickBot="1">
      <c r="A256" s="1326">
        <v>40903</v>
      </c>
      <c r="B256" s="1327">
        <v>183</v>
      </c>
      <c r="C256" s="64">
        <f t="shared" si="6"/>
        <v>0</v>
      </c>
    </row>
    <row r="257" spans="1:3" ht="15.75" thickBot="1">
      <c r="A257" s="1326">
        <v>40904</v>
      </c>
      <c r="B257" s="1327">
        <v>184</v>
      </c>
      <c r="C257" s="64">
        <f t="shared" si="6"/>
        <v>5.4496047675646848E-3</v>
      </c>
    </row>
    <row r="258" spans="1:3" ht="15.75" thickBot="1">
      <c r="A258" s="1326">
        <v>40905</v>
      </c>
      <c r="B258" s="1327">
        <v>195</v>
      </c>
      <c r="C258" s="64">
        <f t="shared" si="6"/>
        <v>5.8063800954761116E-2</v>
      </c>
    </row>
    <row r="259" spans="1:3" ht="15.75" thickBot="1">
      <c r="A259" s="1326">
        <v>40906</v>
      </c>
      <c r="B259" s="1327">
        <v>195</v>
      </c>
      <c r="C259" s="64">
        <f t="shared" si="6"/>
        <v>0</v>
      </c>
    </row>
    <row r="260" spans="1:3" ht="15.75" thickBot="1">
      <c r="A260" s="1326">
        <v>40907</v>
      </c>
      <c r="B260" s="1327">
        <v>195</v>
      </c>
      <c r="C260" s="64">
        <f t="shared" ref="C260:C323" si="7">+LN(B260/B259)</f>
        <v>0</v>
      </c>
    </row>
    <row r="261" spans="1:3" ht="15.75" thickBot="1">
      <c r="A261" s="1326">
        <v>40910</v>
      </c>
      <c r="B261" s="1327">
        <v>195</v>
      </c>
      <c r="C261" s="64">
        <f t="shared" si="7"/>
        <v>0</v>
      </c>
    </row>
    <row r="262" spans="1:3" ht="15.75" thickBot="1">
      <c r="A262" s="1326">
        <v>40911</v>
      </c>
      <c r="B262" s="1327">
        <v>189</v>
      </c>
      <c r="C262" s="64">
        <f t="shared" si="7"/>
        <v>-3.1252543504104426E-2</v>
      </c>
    </row>
    <row r="263" spans="1:3" ht="15.75" thickBot="1">
      <c r="A263" s="1326">
        <v>40912</v>
      </c>
      <c r="B263" s="1327">
        <v>189</v>
      </c>
      <c r="C263" s="64">
        <f t="shared" si="7"/>
        <v>0</v>
      </c>
    </row>
    <row r="264" spans="1:3" ht="15.75" thickBot="1">
      <c r="A264" s="1326">
        <v>40913</v>
      </c>
      <c r="B264" s="1327">
        <v>191</v>
      </c>
      <c r="C264" s="64">
        <f t="shared" si="7"/>
        <v>1.0526412986987603E-2</v>
      </c>
    </row>
    <row r="265" spans="1:3" ht="15.75" thickBot="1">
      <c r="A265" s="1326">
        <v>40914</v>
      </c>
      <c r="B265" s="1327">
        <v>194</v>
      </c>
      <c r="C265" s="64">
        <f t="shared" si="7"/>
        <v>1.5584731016698329E-2</v>
      </c>
    </row>
    <row r="266" spans="1:3" ht="15.75" thickBot="1">
      <c r="A266" s="1326">
        <v>40917</v>
      </c>
      <c r="B266" s="1327">
        <v>195</v>
      </c>
      <c r="C266" s="64">
        <f t="shared" si="7"/>
        <v>5.1413995004186523E-3</v>
      </c>
    </row>
    <row r="267" spans="1:3" ht="15.75" thickBot="1">
      <c r="A267" s="1326">
        <v>40918</v>
      </c>
      <c r="B267" s="1327">
        <v>202</v>
      </c>
      <c r="C267" s="64">
        <f t="shared" si="7"/>
        <v>3.5268138837458052E-2</v>
      </c>
    </row>
    <row r="268" spans="1:3" ht="15.75" thickBot="1">
      <c r="A268" s="1326">
        <v>40919</v>
      </c>
      <c r="B268" s="1327">
        <v>212</v>
      </c>
      <c r="C268" s="64">
        <f t="shared" si="7"/>
        <v>4.8318577270807732E-2</v>
      </c>
    </row>
    <row r="269" spans="1:3" ht="15.75" thickBot="1">
      <c r="A269" s="1326">
        <v>40920</v>
      </c>
      <c r="B269" s="1327">
        <v>209</v>
      </c>
      <c r="C269" s="64">
        <f t="shared" si="7"/>
        <v>-1.4252022707201502E-2</v>
      </c>
    </row>
    <row r="270" spans="1:3" ht="15.75" thickBot="1">
      <c r="A270" s="1326">
        <v>40921</v>
      </c>
      <c r="B270" s="1327">
        <v>216</v>
      </c>
      <c r="C270" s="64">
        <f t="shared" si="7"/>
        <v>3.2944155719354058E-2</v>
      </c>
    </row>
    <row r="271" spans="1:3" ht="15.75" thickBot="1">
      <c r="A271" s="1326">
        <v>40924</v>
      </c>
      <c r="B271" s="1327">
        <v>216</v>
      </c>
      <c r="C271" s="64">
        <f t="shared" si="7"/>
        <v>0</v>
      </c>
    </row>
    <row r="272" spans="1:3" ht="15.75" thickBot="1">
      <c r="A272" s="1326">
        <v>40925</v>
      </c>
      <c r="B272" s="1327">
        <v>216</v>
      </c>
      <c r="C272" s="64">
        <f t="shared" si="7"/>
        <v>0</v>
      </c>
    </row>
    <row r="273" spans="1:3" ht="15.75" thickBot="1">
      <c r="A273" s="1326">
        <v>40926</v>
      </c>
      <c r="B273" s="1327">
        <v>210</v>
      </c>
      <c r="C273" s="64">
        <f t="shared" si="7"/>
        <v>-2.8170876966696335E-2</v>
      </c>
    </row>
    <row r="274" spans="1:3" ht="15.75" thickBot="1">
      <c r="A274" s="1326">
        <v>40927</v>
      </c>
      <c r="B274" s="1327">
        <v>201</v>
      </c>
      <c r="C274" s="64">
        <f t="shared" si="7"/>
        <v>-4.3802622658392888E-2</v>
      </c>
    </row>
    <row r="275" spans="1:3" ht="15.75" thickBot="1">
      <c r="A275" s="1326">
        <v>40928</v>
      </c>
      <c r="B275" s="1327">
        <v>195</v>
      </c>
      <c r="C275" s="64">
        <f t="shared" si="7"/>
        <v>-3.0305349495328922E-2</v>
      </c>
    </row>
    <row r="276" spans="1:3" ht="15.75" thickBot="1">
      <c r="A276" s="1326">
        <v>40931</v>
      </c>
      <c r="B276" s="1327">
        <v>195</v>
      </c>
      <c r="C276" s="64">
        <f t="shared" si="7"/>
        <v>0</v>
      </c>
    </row>
    <row r="277" spans="1:3" ht="15.75" thickBot="1">
      <c r="A277" s="1326">
        <v>40932</v>
      </c>
      <c r="B277" s="1327">
        <v>197</v>
      </c>
      <c r="C277" s="64">
        <f t="shared" si="7"/>
        <v>1.0204170174241668E-2</v>
      </c>
    </row>
    <row r="278" spans="1:3" ht="15.75" thickBot="1">
      <c r="A278" s="1326">
        <v>40933</v>
      </c>
      <c r="B278" s="1327">
        <v>195</v>
      </c>
      <c r="C278" s="64">
        <f t="shared" si="7"/>
        <v>-1.0204170174241736E-2</v>
      </c>
    </row>
    <row r="279" spans="1:3" ht="15.75" thickBot="1">
      <c r="A279" s="1326">
        <v>40934</v>
      </c>
      <c r="B279" s="1327">
        <v>200</v>
      </c>
      <c r="C279" s="64">
        <f t="shared" si="7"/>
        <v>2.5317807984289786E-2</v>
      </c>
    </row>
    <row r="280" spans="1:3" ht="15.75" thickBot="1">
      <c r="A280" s="1326">
        <v>40935</v>
      </c>
      <c r="B280" s="1327">
        <v>201</v>
      </c>
      <c r="C280" s="64">
        <f t="shared" si="7"/>
        <v>4.9875415110389679E-3</v>
      </c>
    </row>
    <row r="281" spans="1:3" ht="15.75" thickBot="1">
      <c r="A281" s="1326">
        <v>40938</v>
      </c>
      <c r="B281" s="1327">
        <v>204</v>
      </c>
      <c r="C281" s="64">
        <f t="shared" si="7"/>
        <v>1.4815085785140682E-2</v>
      </c>
    </row>
    <row r="282" spans="1:3" ht="15.75" thickBot="1">
      <c r="A282" s="1326">
        <v>40939</v>
      </c>
      <c r="B282" s="1327">
        <v>200</v>
      </c>
      <c r="C282" s="64">
        <f t="shared" si="7"/>
        <v>-1.9802627296179754E-2</v>
      </c>
    </row>
    <row r="283" spans="1:3" ht="15.75" thickBot="1">
      <c r="A283" s="1326">
        <v>40940</v>
      </c>
      <c r="B283" s="1327">
        <v>189</v>
      </c>
      <c r="C283" s="64">
        <f t="shared" si="7"/>
        <v>-5.6570351488394351E-2</v>
      </c>
    </row>
    <row r="284" spans="1:3" ht="15.75" thickBot="1">
      <c r="A284" s="1326">
        <v>40941</v>
      </c>
      <c r="B284" s="1327">
        <v>191</v>
      </c>
      <c r="C284" s="64">
        <f t="shared" si="7"/>
        <v>1.0526412986987603E-2</v>
      </c>
    </row>
    <row r="285" spans="1:3" ht="15.75" thickBot="1">
      <c r="A285" s="1326">
        <v>40942</v>
      </c>
      <c r="B285" s="1327">
        <v>180</v>
      </c>
      <c r="C285" s="64">
        <f t="shared" si="7"/>
        <v>-5.9316577156419505E-2</v>
      </c>
    </row>
    <row r="286" spans="1:3" ht="15.75" thickBot="1">
      <c r="A286" s="1326">
        <v>40945</v>
      </c>
      <c r="B286" s="1327">
        <v>184</v>
      </c>
      <c r="C286" s="64">
        <f t="shared" si="7"/>
        <v>2.1978906718775167E-2</v>
      </c>
    </row>
    <row r="287" spans="1:3" ht="15.75" thickBot="1">
      <c r="A287" s="1326">
        <v>40946</v>
      </c>
      <c r="B287" s="1327">
        <v>177</v>
      </c>
      <c r="C287" s="64">
        <f t="shared" si="7"/>
        <v>-3.8786025035156421E-2</v>
      </c>
    </row>
    <row r="288" spans="1:3" ht="15.75" thickBot="1">
      <c r="A288" s="1326">
        <v>40947</v>
      </c>
      <c r="B288" s="1327">
        <v>177</v>
      </c>
      <c r="C288" s="64">
        <f t="shared" si="7"/>
        <v>0</v>
      </c>
    </row>
    <row r="289" spans="1:3" ht="15.75" thickBot="1">
      <c r="A289" s="1326">
        <v>40948</v>
      </c>
      <c r="B289" s="1327">
        <v>171</v>
      </c>
      <c r="C289" s="64">
        <f t="shared" si="7"/>
        <v>-3.4486176071169321E-2</v>
      </c>
    </row>
    <row r="290" spans="1:3" ht="15.75" thickBot="1">
      <c r="A290" s="1326">
        <v>40949</v>
      </c>
      <c r="B290" s="1327">
        <v>178</v>
      </c>
      <c r="C290" s="64">
        <f t="shared" si="7"/>
        <v>4.0119993789425358E-2</v>
      </c>
    </row>
    <row r="291" spans="1:3" ht="15.75" thickBot="1">
      <c r="A291" s="1326">
        <v>40952</v>
      </c>
      <c r="B291" s="1327">
        <v>170</v>
      </c>
      <c r="C291" s="64">
        <f t="shared" si="7"/>
        <v>-4.5985113241823382E-2</v>
      </c>
    </row>
    <row r="292" spans="1:3" ht="15.75" thickBot="1">
      <c r="A292" s="1326">
        <v>40953</v>
      </c>
      <c r="B292" s="1327">
        <v>174</v>
      </c>
      <c r="C292" s="64">
        <f t="shared" si="7"/>
        <v>2.3256862164267183E-2</v>
      </c>
    </row>
    <row r="293" spans="1:3" ht="15.75" thickBot="1">
      <c r="A293" s="1326">
        <v>40954</v>
      </c>
      <c r="B293" s="1327">
        <v>175</v>
      </c>
      <c r="C293" s="64">
        <f t="shared" si="7"/>
        <v>5.7306747089850745E-3</v>
      </c>
    </row>
    <row r="294" spans="1:3" ht="15.75" thickBot="1">
      <c r="A294" s="1326">
        <v>40955</v>
      </c>
      <c r="B294" s="1327">
        <v>172</v>
      </c>
      <c r="C294" s="64">
        <f t="shared" si="7"/>
        <v>-1.7291497110060994E-2</v>
      </c>
    </row>
    <row r="295" spans="1:3" ht="15.75" thickBot="1">
      <c r="A295" s="1326">
        <v>40956</v>
      </c>
      <c r="B295" s="1327">
        <v>168</v>
      </c>
      <c r="C295" s="64">
        <f t="shared" si="7"/>
        <v>-2.3530497410194161E-2</v>
      </c>
    </row>
    <row r="296" spans="1:3" ht="15.75" thickBot="1">
      <c r="A296" s="1326">
        <v>40959</v>
      </c>
      <c r="B296" s="1327">
        <v>168</v>
      </c>
      <c r="C296" s="64">
        <f t="shared" si="7"/>
        <v>0</v>
      </c>
    </row>
    <row r="297" spans="1:3" ht="15.75" thickBot="1">
      <c r="A297" s="1326">
        <v>40960</v>
      </c>
      <c r="B297" s="1327">
        <v>168</v>
      </c>
      <c r="C297" s="64">
        <f t="shared" si="7"/>
        <v>0</v>
      </c>
    </row>
    <row r="298" spans="1:3" ht="15.75" thickBot="1">
      <c r="A298" s="1326">
        <v>40961</v>
      </c>
      <c r="B298" s="1327">
        <v>168</v>
      </c>
      <c r="C298" s="64">
        <f t="shared" si="7"/>
        <v>0</v>
      </c>
    </row>
    <row r="299" spans="1:3" ht="15.75" thickBot="1">
      <c r="A299" s="1326">
        <v>40962</v>
      </c>
      <c r="B299" s="1327">
        <v>176</v>
      </c>
      <c r="C299" s="64">
        <f t="shared" si="7"/>
        <v>4.6520015634892907E-2</v>
      </c>
    </row>
    <row r="300" spans="1:3" ht="15.75" thickBot="1">
      <c r="A300" s="1326">
        <v>40963</v>
      </c>
      <c r="B300" s="1327">
        <v>176</v>
      </c>
      <c r="C300" s="64">
        <f t="shared" si="7"/>
        <v>0</v>
      </c>
    </row>
    <row r="301" spans="1:3" ht="15.75" thickBot="1">
      <c r="A301" s="1326">
        <v>40966</v>
      </c>
      <c r="B301" s="1327">
        <v>178</v>
      </c>
      <c r="C301" s="64">
        <f t="shared" si="7"/>
        <v>1.1299555253933466E-2</v>
      </c>
    </row>
    <row r="302" spans="1:3" ht="15.75" thickBot="1">
      <c r="A302" s="1326">
        <v>40967</v>
      </c>
      <c r="B302" s="1327">
        <v>176</v>
      </c>
      <c r="C302" s="64">
        <f t="shared" si="7"/>
        <v>-1.1299555253933394E-2</v>
      </c>
    </row>
    <row r="303" spans="1:3" ht="15.75" thickBot="1">
      <c r="A303" s="1326">
        <v>40968</v>
      </c>
      <c r="B303" s="1327">
        <v>171</v>
      </c>
      <c r="C303" s="64">
        <f t="shared" si="7"/>
        <v>-2.8820438535491971E-2</v>
      </c>
    </row>
    <row r="304" spans="1:3" ht="15.75" thickBot="1">
      <c r="A304" s="1326">
        <v>40969</v>
      </c>
      <c r="B304" s="1327">
        <v>164</v>
      </c>
      <c r="C304" s="64">
        <f t="shared" si="7"/>
        <v>-4.1797128678461477E-2</v>
      </c>
    </row>
    <row r="305" spans="1:3" ht="15.75" thickBot="1">
      <c r="A305" s="1326">
        <v>40970</v>
      </c>
      <c r="B305" s="1327">
        <v>159</v>
      </c>
      <c r="C305" s="64">
        <f t="shared" si="7"/>
        <v>-3.0962225603966925E-2</v>
      </c>
    </row>
    <row r="306" spans="1:3" ht="15.75" thickBot="1">
      <c r="A306" s="1326">
        <v>40973</v>
      </c>
      <c r="B306" s="1327">
        <v>164</v>
      </c>
      <c r="C306" s="64">
        <f t="shared" si="7"/>
        <v>3.096222560396689E-2</v>
      </c>
    </row>
    <row r="307" spans="1:3" ht="15.75" thickBot="1">
      <c r="A307" s="1326">
        <v>40974</v>
      </c>
      <c r="B307" s="1327">
        <v>172</v>
      </c>
      <c r="C307" s="64">
        <f t="shared" si="7"/>
        <v>4.7628048989254664E-2</v>
      </c>
    </row>
    <row r="308" spans="1:3" ht="15.75" thickBot="1">
      <c r="A308" s="1326">
        <v>40975</v>
      </c>
      <c r="B308" s="1327">
        <v>164</v>
      </c>
      <c r="C308" s="64">
        <f t="shared" si="7"/>
        <v>-4.7628048989254587E-2</v>
      </c>
    </row>
    <row r="309" spans="1:3" ht="15.75" thickBot="1">
      <c r="A309" s="1326">
        <v>40976</v>
      </c>
      <c r="B309" s="1327">
        <v>157</v>
      </c>
      <c r="C309" s="64">
        <f t="shared" si="7"/>
        <v>-4.3620622475890408E-2</v>
      </c>
    </row>
    <row r="310" spans="1:3" ht="15.75" thickBot="1">
      <c r="A310" s="1326">
        <v>40977</v>
      </c>
      <c r="B310" s="1327">
        <v>155</v>
      </c>
      <c r="C310" s="64">
        <f t="shared" si="7"/>
        <v>-1.2820688429061434E-2</v>
      </c>
    </row>
    <row r="311" spans="1:3" ht="15.75" thickBot="1">
      <c r="A311" s="1326">
        <v>40980</v>
      </c>
      <c r="B311" s="1327">
        <v>146</v>
      </c>
      <c r="C311" s="64">
        <f t="shared" si="7"/>
        <v>-5.9818495210910219E-2</v>
      </c>
    </row>
    <row r="312" spans="1:3" ht="15.75" thickBot="1">
      <c r="A312" s="1326">
        <v>40981</v>
      </c>
      <c r="B312" s="1327">
        <v>143</v>
      </c>
      <c r="C312" s="64">
        <f t="shared" si="7"/>
        <v>-2.0761991448429128E-2</v>
      </c>
    </row>
    <row r="313" spans="1:3" ht="15.75" thickBot="1">
      <c r="A313" s="1326">
        <v>40982</v>
      </c>
      <c r="B313" s="1327">
        <v>137</v>
      </c>
      <c r="C313" s="64">
        <f t="shared" si="7"/>
        <v>-4.286370443178239E-2</v>
      </c>
    </row>
    <row r="314" spans="1:3" ht="15.75" thickBot="1">
      <c r="A314" s="1326">
        <v>40983</v>
      </c>
      <c r="B314" s="1327">
        <v>142</v>
      </c>
      <c r="C314" s="64">
        <f t="shared" si="7"/>
        <v>3.5846131773135878E-2</v>
      </c>
    </row>
    <row r="315" spans="1:3" ht="15.75" thickBot="1">
      <c r="A315" s="1326">
        <v>40984</v>
      </c>
      <c r="B315" s="1327">
        <v>143</v>
      </c>
      <c r="C315" s="64">
        <f t="shared" si="7"/>
        <v>7.0175726586465398E-3</v>
      </c>
    </row>
    <row r="316" spans="1:3" ht="15.75" thickBot="1">
      <c r="A316" s="1326">
        <v>40987</v>
      </c>
      <c r="B316" s="1327">
        <v>138</v>
      </c>
      <c r="C316" s="64">
        <f t="shared" si="7"/>
        <v>-3.559094510270263E-2</v>
      </c>
    </row>
    <row r="317" spans="1:3" ht="15.75" thickBot="1">
      <c r="A317" s="1326">
        <v>40988</v>
      </c>
      <c r="B317" s="1327">
        <v>140</v>
      </c>
      <c r="C317" s="64">
        <f t="shared" si="7"/>
        <v>1.4388737452099671E-2</v>
      </c>
    </row>
    <row r="318" spans="1:3" ht="15.75" thickBot="1">
      <c r="A318" s="1326">
        <v>40989</v>
      </c>
      <c r="B318" s="1327">
        <v>139</v>
      </c>
      <c r="C318" s="64">
        <f t="shared" si="7"/>
        <v>-7.168489478612516E-3</v>
      </c>
    </row>
    <row r="319" spans="1:3" ht="15.75" thickBot="1">
      <c r="A319" s="1326">
        <v>40990</v>
      </c>
      <c r="B319" s="1327">
        <v>142</v>
      </c>
      <c r="C319" s="64">
        <f t="shared" si="7"/>
        <v>2.1353124470569061E-2</v>
      </c>
    </row>
    <row r="320" spans="1:3" ht="15.75" thickBot="1">
      <c r="A320" s="1326">
        <v>40991</v>
      </c>
      <c r="B320" s="1327">
        <v>144</v>
      </c>
      <c r="C320" s="64">
        <f t="shared" si="7"/>
        <v>1.398624197473987E-2</v>
      </c>
    </row>
    <row r="321" spans="1:3" ht="15.75" thickBot="1">
      <c r="A321" s="1326">
        <v>40994</v>
      </c>
      <c r="B321" s="1327">
        <v>146</v>
      </c>
      <c r="C321" s="64">
        <f t="shared" si="7"/>
        <v>1.3793322132335769E-2</v>
      </c>
    </row>
    <row r="322" spans="1:3" ht="15.75" thickBot="1">
      <c r="A322" s="1326">
        <v>40995</v>
      </c>
      <c r="B322" s="1327">
        <v>148</v>
      </c>
      <c r="C322" s="64">
        <f t="shared" si="7"/>
        <v>1.3605652055778678E-2</v>
      </c>
    </row>
    <row r="323" spans="1:3" ht="15.75" thickBot="1">
      <c r="A323" s="1326">
        <v>40996</v>
      </c>
      <c r="B323" s="1327">
        <v>146</v>
      </c>
      <c r="C323" s="64">
        <f t="shared" si="7"/>
        <v>-1.3605652055778598E-2</v>
      </c>
    </row>
    <row r="324" spans="1:3" ht="15.75" thickBot="1">
      <c r="A324" s="1326">
        <v>40997</v>
      </c>
      <c r="B324" s="1327">
        <v>150</v>
      </c>
      <c r="C324" s="64">
        <f t="shared" ref="C324:C387" si="8">+LN(B324/B323)</f>
        <v>2.7028672387919419E-2</v>
      </c>
    </row>
    <row r="325" spans="1:3" ht="15.75" thickBot="1">
      <c r="A325" s="1326">
        <v>40998</v>
      </c>
      <c r="B325" s="1327">
        <v>141</v>
      </c>
      <c r="C325" s="64">
        <f t="shared" si="8"/>
        <v>-6.1875403718087529E-2</v>
      </c>
    </row>
    <row r="326" spans="1:3" ht="15.75" thickBot="1">
      <c r="A326" s="1326">
        <v>41001</v>
      </c>
      <c r="B326" s="1327">
        <v>143</v>
      </c>
      <c r="C326" s="64">
        <f t="shared" si="8"/>
        <v>1.4084739881739023E-2</v>
      </c>
    </row>
    <row r="327" spans="1:3" ht="15.75" thickBot="1">
      <c r="A327" s="1326">
        <v>41002</v>
      </c>
      <c r="B327" s="1327">
        <v>134</v>
      </c>
      <c r="C327" s="64">
        <f t="shared" si="8"/>
        <v>-6.5004830308995884E-2</v>
      </c>
    </row>
    <row r="328" spans="1:3" ht="15.75" thickBot="1">
      <c r="A328" s="1326">
        <v>41003</v>
      </c>
      <c r="B328" s="1327">
        <v>142</v>
      </c>
      <c r="C328" s="64">
        <f t="shared" si="8"/>
        <v>5.7987257650349316E-2</v>
      </c>
    </row>
    <row r="329" spans="1:3" ht="15.75" thickBot="1">
      <c r="A329" s="1326">
        <v>41004</v>
      </c>
      <c r="B329" s="1327">
        <v>149</v>
      </c>
      <c r="C329" s="64">
        <f t="shared" si="8"/>
        <v>4.8119248344198347E-2</v>
      </c>
    </row>
    <row r="330" spans="1:3" ht="15.75" thickBot="1">
      <c r="A330" s="1326">
        <v>41008</v>
      </c>
      <c r="B330" s="1327">
        <v>159</v>
      </c>
      <c r="C330" s="64">
        <f t="shared" si="8"/>
        <v>6.4957896274772289E-2</v>
      </c>
    </row>
    <row r="331" spans="1:3" ht="15.75" thickBot="1">
      <c r="A331" s="1326">
        <v>41009</v>
      </c>
      <c r="B331" s="1327">
        <v>159</v>
      </c>
      <c r="C331" s="64">
        <f t="shared" si="8"/>
        <v>0</v>
      </c>
    </row>
    <row r="332" spans="1:3" ht="15.75" thickBot="1">
      <c r="A332" s="1326">
        <v>41010</v>
      </c>
      <c r="B332" s="1327">
        <v>150</v>
      </c>
      <c r="C332" s="64">
        <f t="shared" si="8"/>
        <v>-5.8268908123975761E-2</v>
      </c>
    </row>
    <row r="333" spans="1:3" ht="15.75" thickBot="1">
      <c r="A333" s="1326">
        <v>41011</v>
      </c>
      <c r="B333" s="1327">
        <v>143</v>
      </c>
      <c r="C333" s="64">
        <f t="shared" si="8"/>
        <v>-4.7790663836348439E-2</v>
      </c>
    </row>
    <row r="334" spans="1:3" ht="15.75" thickBot="1">
      <c r="A334" s="1326">
        <v>41012</v>
      </c>
      <c r="B334" s="1327">
        <v>151</v>
      </c>
      <c r="C334" s="64">
        <f t="shared" si="8"/>
        <v>5.443520655501715E-2</v>
      </c>
    </row>
    <row r="335" spans="1:3" ht="15.75" thickBot="1">
      <c r="A335" s="1326">
        <v>41015</v>
      </c>
      <c r="B335" s="1327">
        <v>149</v>
      </c>
      <c r="C335" s="64">
        <f t="shared" si="8"/>
        <v>-1.3333530869465144E-2</v>
      </c>
    </row>
    <row r="336" spans="1:3" ht="15.75" thickBot="1">
      <c r="A336" s="1326">
        <v>41016</v>
      </c>
      <c r="B336" s="1327">
        <v>143</v>
      </c>
      <c r="C336" s="64">
        <f t="shared" si="8"/>
        <v>-4.1101675685551918E-2</v>
      </c>
    </row>
    <row r="337" spans="1:3" ht="15.75" thickBot="1">
      <c r="A337" s="1326">
        <v>41017</v>
      </c>
      <c r="B337" s="1327">
        <v>145</v>
      </c>
      <c r="C337" s="64">
        <f t="shared" si="8"/>
        <v>1.3889112160667093E-2</v>
      </c>
    </row>
    <row r="338" spans="1:3" ht="15.75" thickBot="1">
      <c r="A338" s="1326">
        <v>41018</v>
      </c>
      <c r="B338" s="1327">
        <v>137</v>
      </c>
      <c r="C338" s="64">
        <f t="shared" si="8"/>
        <v>-5.6752816592449483E-2</v>
      </c>
    </row>
    <row r="339" spans="1:3" ht="15.75" thickBot="1">
      <c r="A339" s="1326">
        <v>41019</v>
      </c>
      <c r="B339" s="1327">
        <v>141</v>
      </c>
      <c r="C339" s="64">
        <f t="shared" si="8"/>
        <v>2.8778964550043327E-2</v>
      </c>
    </row>
    <row r="340" spans="1:3" ht="15.75" thickBot="1">
      <c r="A340" s="1326">
        <v>41022</v>
      </c>
      <c r="B340" s="1327">
        <v>148</v>
      </c>
      <c r="C340" s="64">
        <f t="shared" si="8"/>
        <v>4.8452383385946748E-2</v>
      </c>
    </row>
    <row r="341" spans="1:3" ht="15.75" thickBot="1">
      <c r="A341" s="1326">
        <v>41023</v>
      </c>
      <c r="B341" s="1327">
        <v>147</v>
      </c>
      <c r="C341" s="64">
        <f t="shared" si="8"/>
        <v>-6.7796869853788038E-3</v>
      </c>
    </row>
    <row r="342" spans="1:3" ht="15.75" thickBot="1">
      <c r="A342" s="1326">
        <v>41024</v>
      </c>
      <c r="B342" s="1327">
        <v>150</v>
      </c>
      <c r="C342" s="64">
        <f t="shared" si="8"/>
        <v>2.0202707317519469E-2</v>
      </c>
    </row>
    <row r="343" spans="1:3" ht="15.75" thickBot="1">
      <c r="A343" s="1326">
        <v>41025</v>
      </c>
      <c r="B343" s="1327">
        <v>152</v>
      </c>
      <c r="C343" s="64">
        <f t="shared" si="8"/>
        <v>1.3245226750020723E-2</v>
      </c>
    </row>
    <row r="344" spans="1:3" ht="15.75" thickBot="1">
      <c r="A344" s="1326">
        <v>41026</v>
      </c>
      <c r="B344" s="1327">
        <v>152</v>
      </c>
      <c r="C344" s="64">
        <f t="shared" si="8"/>
        <v>0</v>
      </c>
    </row>
    <row r="345" spans="1:3" ht="15.75" thickBot="1">
      <c r="A345" s="1326">
        <v>41029</v>
      </c>
      <c r="B345" s="1327">
        <v>152</v>
      </c>
      <c r="C345" s="64">
        <f t="shared" si="8"/>
        <v>0</v>
      </c>
    </row>
    <row r="346" spans="1:3" ht="15.75" thickBot="1">
      <c r="A346" s="1326">
        <v>41030</v>
      </c>
      <c r="B346" s="1327">
        <v>148</v>
      </c>
      <c r="C346" s="64">
        <f t="shared" si="8"/>
        <v>-2.6668247082161294E-2</v>
      </c>
    </row>
    <row r="347" spans="1:3" ht="15.75" thickBot="1">
      <c r="A347" s="1326">
        <v>41031</v>
      </c>
      <c r="B347" s="1327">
        <v>147</v>
      </c>
      <c r="C347" s="64">
        <f t="shared" si="8"/>
        <v>-6.7796869853788038E-3</v>
      </c>
    </row>
    <row r="348" spans="1:3" ht="15.75" thickBot="1">
      <c r="A348" s="1326">
        <v>41032</v>
      </c>
      <c r="B348" s="1327">
        <v>143</v>
      </c>
      <c r="C348" s="64">
        <f t="shared" si="8"/>
        <v>-2.7587956518829053E-2</v>
      </c>
    </row>
    <row r="349" spans="1:3" ht="15.75" thickBot="1">
      <c r="A349" s="1326">
        <v>41033</v>
      </c>
      <c r="B349" s="1327">
        <v>145</v>
      </c>
      <c r="C349" s="64">
        <f t="shared" si="8"/>
        <v>1.3889112160667093E-2</v>
      </c>
    </row>
    <row r="350" spans="1:3" ht="15.75" thickBot="1">
      <c r="A350" s="1326">
        <v>41036</v>
      </c>
      <c r="B350" s="1327">
        <v>146</v>
      </c>
      <c r="C350" s="64">
        <f t="shared" si="8"/>
        <v>6.8728792877620504E-3</v>
      </c>
    </row>
    <row r="351" spans="1:3" ht="15.75" thickBot="1">
      <c r="A351" s="1326">
        <v>41037</v>
      </c>
      <c r="B351" s="1327">
        <v>150</v>
      </c>
      <c r="C351" s="64">
        <f t="shared" si="8"/>
        <v>2.7028672387919419E-2</v>
      </c>
    </row>
    <row r="352" spans="1:3" ht="15.75" thickBot="1">
      <c r="A352" s="1326">
        <v>41038</v>
      </c>
      <c r="B352" s="1327">
        <v>155</v>
      </c>
      <c r="C352" s="64">
        <f t="shared" si="8"/>
        <v>3.278982282299097E-2</v>
      </c>
    </row>
    <row r="353" spans="1:3" ht="15.75" thickBot="1">
      <c r="A353" s="1326">
        <v>41039</v>
      </c>
      <c r="B353" s="1327">
        <v>154</v>
      </c>
      <c r="C353" s="64">
        <f t="shared" si="8"/>
        <v>-6.4725145056174788E-3</v>
      </c>
    </row>
    <row r="354" spans="1:3" ht="15.75" thickBot="1">
      <c r="A354" s="1326">
        <v>41040</v>
      </c>
      <c r="B354" s="1327">
        <v>162</v>
      </c>
      <c r="C354" s="64">
        <f t="shared" si="8"/>
        <v>5.0643732818754936E-2</v>
      </c>
    </row>
    <row r="355" spans="1:3" ht="15.75" thickBot="1">
      <c r="A355" s="1326">
        <v>41043</v>
      </c>
      <c r="B355" s="1327">
        <v>170</v>
      </c>
      <c r="C355" s="64">
        <f t="shared" si="8"/>
        <v>4.8202101817877686E-2</v>
      </c>
    </row>
    <row r="356" spans="1:3" ht="15.75" thickBot="1">
      <c r="A356" s="1326">
        <v>41044</v>
      </c>
      <c r="B356" s="1327">
        <v>175</v>
      </c>
      <c r="C356" s="64">
        <f t="shared" si="8"/>
        <v>2.8987536873252187E-2</v>
      </c>
    </row>
    <row r="357" spans="1:3" ht="15.75" thickBot="1">
      <c r="A357" s="1326">
        <v>41045</v>
      </c>
      <c r="B357" s="1327">
        <v>177</v>
      </c>
      <c r="C357" s="64">
        <f t="shared" si="8"/>
        <v>1.1363758650315003E-2</v>
      </c>
    </row>
    <row r="358" spans="1:3" ht="15.75" thickBot="1">
      <c r="A358" s="1326">
        <v>41046</v>
      </c>
      <c r="B358" s="1327">
        <v>189</v>
      </c>
      <c r="C358" s="64">
        <f t="shared" si="8"/>
        <v>6.5597282485813271E-2</v>
      </c>
    </row>
    <row r="359" spans="1:3" ht="15.75" thickBot="1">
      <c r="A359" s="1326">
        <v>41047</v>
      </c>
      <c r="B359" s="1327">
        <v>190</v>
      </c>
      <c r="C359" s="64">
        <f t="shared" si="8"/>
        <v>5.2770571008438193E-3</v>
      </c>
    </row>
    <row r="360" spans="1:3" ht="15.75" thickBot="1">
      <c r="A360" s="1326">
        <v>41050</v>
      </c>
      <c r="B360" s="1327">
        <v>189</v>
      </c>
      <c r="C360" s="64">
        <f t="shared" si="8"/>
        <v>-5.2770571008437812E-3</v>
      </c>
    </row>
    <row r="361" spans="1:3" ht="15.75" thickBot="1">
      <c r="A361" s="1326">
        <v>41051</v>
      </c>
      <c r="B361" s="1327">
        <v>188</v>
      </c>
      <c r="C361" s="64">
        <f t="shared" si="8"/>
        <v>-5.3050522296932291E-3</v>
      </c>
    </row>
    <row r="362" spans="1:3" ht="15.75" thickBot="1">
      <c r="A362" s="1326">
        <v>41052</v>
      </c>
      <c r="B362" s="1327">
        <v>195</v>
      </c>
      <c r="C362" s="64">
        <f t="shared" si="8"/>
        <v>3.6557595733797514E-2</v>
      </c>
    </row>
    <row r="363" spans="1:3" ht="15.75" thickBot="1">
      <c r="A363" s="1326">
        <v>41053</v>
      </c>
      <c r="B363" s="1327">
        <v>193</v>
      </c>
      <c r="C363" s="64">
        <f t="shared" si="8"/>
        <v>-1.0309369658861213E-2</v>
      </c>
    </row>
    <row r="364" spans="1:3" ht="15.75" thickBot="1">
      <c r="A364" s="1326">
        <v>41054</v>
      </c>
      <c r="B364" s="1327">
        <v>194</v>
      </c>
      <c r="C364" s="64">
        <f t="shared" si="8"/>
        <v>5.1679701584425976E-3</v>
      </c>
    </row>
    <row r="365" spans="1:3" ht="15.75" thickBot="1">
      <c r="A365" s="1326">
        <v>41057</v>
      </c>
      <c r="B365" s="1327">
        <v>194</v>
      </c>
      <c r="C365" s="64">
        <f t="shared" si="8"/>
        <v>0</v>
      </c>
    </row>
    <row r="366" spans="1:3" ht="15.75" thickBot="1">
      <c r="A366" s="1326">
        <v>41058</v>
      </c>
      <c r="B366" s="1327">
        <v>196</v>
      </c>
      <c r="C366" s="64">
        <f t="shared" si="8"/>
        <v>1.0256500167189061E-2</v>
      </c>
    </row>
    <row r="367" spans="1:3" ht="15.75" thickBot="1">
      <c r="A367" s="1326">
        <v>41059</v>
      </c>
      <c r="B367" s="1327">
        <v>202</v>
      </c>
      <c r="C367" s="64">
        <f t="shared" si="8"/>
        <v>3.0153038170687457E-2</v>
      </c>
    </row>
    <row r="368" spans="1:3" ht="15.75" thickBot="1">
      <c r="A368" s="1326">
        <v>41060</v>
      </c>
      <c r="B368" s="1327">
        <v>207</v>
      </c>
      <c r="C368" s="64">
        <f t="shared" si="8"/>
        <v>2.4451095864164336E-2</v>
      </c>
    </row>
    <row r="369" spans="1:3" ht="15.75" thickBot="1">
      <c r="A369" s="1326">
        <v>41061</v>
      </c>
      <c r="B369" s="1327">
        <v>211</v>
      </c>
      <c r="C369" s="64">
        <f t="shared" si="8"/>
        <v>1.9139340210697506E-2</v>
      </c>
    </row>
    <row r="370" spans="1:3" ht="15.75" thickBot="1">
      <c r="A370" s="1326">
        <v>41064</v>
      </c>
      <c r="B370" s="1327">
        <v>206</v>
      </c>
      <c r="C370" s="64">
        <f t="shared" si="8"/>
        <v>-2.3981964686485439E-2</v>
      </c>
    </row>
    <row r="371" spans="1:3" ht="15.75" thickBot="1">
      <c r="A371" s="1326">
        <v>41065</v>
      </c>
      <c r="B371" s="1327">
        <v>191</v>
      </c>
      <c r="C371" s="64">
        <f t="shared" si="8"/>
        <v>-7.5602740742951174E-2</v>
      </c>
    </row>
    <row r="372" spans="1:3" ht="15.75" thickBot="1">
      <c r="A372" s="1326">
        <v>41066</v>
      </c>
      <c r="B372" s="1327">
        <v>177</v>
      </c>
      <c r="C372" s="64">
        <f t="shared" si="8"/>
        <v>-7.6123695472800693E-2</v>
      </c>
    </row>
    <row r="373" spans="1:3" ht="15.75" thickBot="1">
      <c r="A373" s="1326">
        <v>41067</v>
      </c>
      <c r="B373" s="1327">
        <v>180</v>
      </c>
      <c r="C373" s="64">
        <f t="shared" si="8"/>
        <v>1.6807118316381191E-2</v>
      </c>
    </row>
    <row r="374" spans="1:3" ht="15.75" thickBot="1">
      <c r="A374" s="1326">
        <v>41068</v>
      </c>
      <c r="B374" s="1327">
        <v>177</v>
      </c>
      <c r="C374" s="64">
        <f t="shared" si="8"/>
        <v>-1.6807118316381289E-2</v>
      </c>
    </row>
    <row r="375" spans="1:3" ht="15.75" thickBot="1">
      <c r="A375" s="1326">
        <v>41071</v>
      </c>
      <c r="B375" s="1327">
        <v>182</v>
      </c>
      <c r="C375" s="64">
        <f t="shared" si="8"/>
        <v>2.7856954502966279E-2</v>
      </c>
    </row>
    <row r="376" spans="1:3" ht="15.75" thickBot="1">
      <c r="A376" s="1326">
        <v>41072</v>
      </c>
      <c r="B376" s="1327">
        <v>170</v>
      </c>
      <c r="C376" s="64">
        <f t="shared" si="8"/>
        <v>-6.8208250026533579E-2</v>
      </c>
    </row>
    <row r="377" spans="1:3" ht="15.75" thickBot="1">
      <c r="A377" s="1326">
        <v>41073</v>
      </c>
      <c r="B377" s="1327">
        <v>165</v>
      </c>
      <c r="C377" s="64">
        <f t="shared" si="8"/>
        <v>-2.985296314968116E-2</v>
      </c>
    </row>
    <row r="378" spans="1:3" ht="15.75" thickBot="1">
      <c r="A378" s="1326">
        <v>41074</v>
      </c>
      <c r="B378" s="1327">
        <v>164</v>
      </c>
      <c r="C378" s="64">
        <f t="shared" si="8"/>
        <v>-6.0790460763822263E-3</v>
      </c>
    </row>
    <row r="379" spans="1:3" ht="15.75" thickBot="1">
      <c r="A379" s="1326">
        <v>41075</v>
      </c>
      <c r="B379" s="1327">
        <v>155</v>
      </c>
      <c r="C379" s="64">
        <f t="shared" si="8"/>
        <v>-5.6441310904951851E-2</v>
      </c>
    </row>
    <row r="380" spans="1:3" ht="15.75" thickBot="1">
      <c r="A380" s="1326">
        <v>41078</v>
      </c>
      <c r="B380" s="1327">
        <v>163</v>
      </c>
      <c r="C380" s="64">
        <f t="shared" si="8"/>
        <v>5.032508388751563E-2</v>
      </c>
    </row>
    <row r="381" spans="1:3" ht="15.75" thickBot="1">
      <c r="A381" s="1326">
        <v>41079</v>
      </c>
      <c r="B381" s="1327">
        <v>163</v>
      </c>
      <c r="C381" s="64">
        <f t="shared" si="8"/>
        <v>0</v>
      </c>
    </row>
    <row r="382" spans="1:3" ht="15.75" thickBot="1">
      <c r="A382" s="1326">
        <v>41080</v>
      </c>
      <c r="B382" s="1327">
        <v>164</v>
      </c>
      <c r="C382" s="64">
        <f t="shared" si="8"/>
        <v>6.1162270174360536E-3</v>
      </c>
    </row>
    <row r="383" spans="1:3" ht="15.75" thickBot="1">
      <c r="A383" s="1326">
        <v>41081</v>
      </c>
      <c r="B383" s="1327">
        <v>167</v>
      </c>
      <c r="C383" s="64">
        <f t="shared" si="8"/>
        <v>1.8127384592556701E-2</v>
      </c>
    </row>
    <row r="384" spans="1:3" ht="15.75" thickBot="1">
      <c r="A384" s="1326">
        <v>41082</v>
      </c>
      <c r="B384" s="1327">
        <v>162</v>
      </c>
      <c r="C384" s="64">
        <f t="shared" si="8"/>
        <v>-3.0397477184371045E-2</v>
      </c>
    </row>
    <row r="385" spans="1:3" ht="15.75" thickBot="1">
      <c r="A385" s="1326">
        <v>41085</v>
      </c>
      <c r="B385" s="1327">
        <v>169</v>
      </c>
      <c r="C385" s="64">
        <f t="shared" si="8"/>
        <v>4.2302379690689368E-2</v>
      </c>
    </row>
    <row r="386" spans="1:3" ht="15.75" thickBot="1">
      <c r="A386" s="1326">
        <v>41086</v>
      </c>
      <c r="B386" s="1327">
        <v>169</v>
      </c>
      <c r="C386" s="64">
        <f t="shared" si="8"/>
        <v>0</v>
      </c>
    </row>
    <row r="387" spans="1:3" ht="15.75" thickBot="1">
      <c r="A387" s="1326">
        <v>41087</v>
      </c>
      <c r="B387" s="1327">
        <v>167</v>
      </c>
      <c r="C387" s="64">
        <f t="shared" si="8"/>
        <v>-1.1904902506318314E-2</v>
      </c>
    </row>
    <row r="388" spans="1:3" ht="15.75" thickBot="1">
      <c r="A388" s="1326">
        <v>41088</v>
      </c>
      <c r="B388" s="1327">
        <v>168</v>
      </c>
      <c r="C388" s="64">
        <f t="shared" ref="C388:C451" si="9">+LN(B388/B387)</f>
        <v>5.9701669865037544E-3</v>
      </c>
    </row>
    <row r="389" spans="1:3" ht="15.75" thickBot="1">
      <c r="A389" s="1326">
        <v>41089</v>
      </c>
      <c r="B389" s="1327">
        <v>158</v>
      </c>
      <c r="C389" s="64">
        <f t="shared" si="9"/>
        <v>-6.136894637629213E-2</v>
      </c>
    </row>
    <row r="390" spans="1:3" ht="15.75" thickBot="1">
      <c r="A390" s="1326">
        <v>41092</v>
      </c>
      <c r="B390" s="1327">
        <v>165</v>
      </c>
      <c r="C390" s="64">
        <f t="shared" si="9"/>
        <v>4.3350440873613817E-2</v>
      </c>
    </row>
    <row r="391" spans="1:3" ht="15.75" thickBot="1">
      <c r="A391" s="1326">
        <v>41093</v>
      </c>
      <c r="B391" s="1327">
        <v>158</v>
      </c>
      <c r="C391" s="64">
        <f t="shared" si="9"/>
        <v>-4.3350440873613859E-2</v>
      </c>
    </row>
    <row r="392" spans="1:3" ht="15.75" thickBot="1">
      <c r="A392" s="1326">
        <v>41094</v>
      </c>
      <c r="B392" s="1327">
        <v>158</v>
      </c>
      <c r="C392" s="64">
        <f t="shared" si="9"/>
        <v>0</v>
      </c>
    </row>
    <row r="393" spans="1:3" ht="15.75" thickBot="1">
      <c r="A393" s="1326">
        <v>41095</v>
      </c>
      <c r="B393" s="1327">
        <v>157</v>
      </c>
      <c r="C393" s="64">
        <f t="shared" si="9"/>
        <v>-6.34922767865878E-3</v>
      </c>
    </row>
    <row r="394" spans="1:3" ht="15.75" thickBot="1">
      <c r="A394" s="1326">
        <v>41096</v>
      </c>
      <c r="B394" s="1327">
        <v>160</v>
      </c>
      <c r="C394" s="64">
        <f t="shared" si="9"/>
        <v>1.8928009885518859E-2</v>
      </c>
    </row>
    <row r="395" spans="1:3" ht="15.75" thickBot="1">
      <c r="A395" s="1326">
        <v>41099</v>
      </c>
      <c r="B395" s="1327">
        <v>158</v>
      </c>
      <c r="C395" s="64">
        <f t="shared" si="9"/>
        <v>-1.2578782206860073E-2</v>
      </c>
    </row>
    <row r="396" spans="1:3" ht="15.75" thickBot="1">
      <c r="A396" s="1326">
        <v>41100</v>
      </c>
      <c r="B396" s="1327">
        <v>155</v>
      </c>
      <c r="C396" s="64">
        <f t="shared" si="9"/>
        <v>-1.9169916107720172E-2</v>
      </c>
    </row>
    <row r="397" spans="1:3" ht="15.75" thickBot="1">
      <c r="A397" s="1326">
        <v>41101</v>
      </c>
      <c r="B397" s="1327">
        <v>151</v>
      </c>
      <c r="C397" s="64">
        <f t="shared" si="9"/>
        <v>-2.6145280104322245E-2</v>
      </c>
    </row>
    <row r="398" spans="1:3" ht="15.75" thickBot="1">
      <c r="A398" s="1326">
        <v>41102</v>
      </c>
      <c r="B398" s="1327">
        <v>151</v>
      </c>
      <c r="C398" s="64">
        <f t="shared" si="9"/>
        <v>0</v>
      </c>
    </row>
    <row r="399" spans="1:3" ht="15.75" thickBot="1">
      <c r="A399" s="1326">
        <v>41103</v>
      </c>
      <c r="B399" s="1327">
        <v>147</v>
      </c>
      <c r="C399" s="64">
        <f t="shared" si="9"/>
        <v>-2.6847250036188052E-2</v>
      </c>
    </row>
    <row r="400" spans="1:3" ht="15.75" thickBot="1">
      <c r="A400" s="1326">
        <v>41106</v>
      </c>
      <c r="B400" s="1327">
        <v>143</v>
      </c>
      <c r="C400" s="64">
        <f t="shared" si="9"/>
        <v>-2.7587956518829053E-2</v>
      </c>
    </row>
    <row r="401" spans="1:3" ht="15.75" thickBot="1">
      <c r="A401" s="1326">
        <v>41107</v>
      </c>
      <c r="B401" s="1327">
        <v>139</v>
      </c>
      <c r="C401" s="64">
        <f t="shared" si="9"/>
        <v>-2.8370697129215576E-2</v>
      </c>
    </row>
    <row r="402" spans="1:3" ht="15.75" thickBot="1">
      <c r="A402" s="1326">
        <v>41108</v>
      </c>
      <c r="B402" s="1327">
        <v>143</v>
      </c>
      <c r="C402" s="64">
        <f t="shared" si="9"/>
        <v>2.8370697129215566E-2</v>
      </c>
    </row>
    <row r="403" spans="1:3" ht="15.75" thickBot="1">
      <c r="A403" s="1326">
        <v>41109</v>
      </c>
      <c r="B403" s="1327">
        <v>140</v>
      </c>
      <c r="C403" s="64">
        <f t="shared" si="9"/>
        <v>-2.1202207650602937E-2</v>
      </c>
    </row>
    <row r="404" spans="1:3" ht="15.75" thickBot="1">
      <c r="A404" s="1326">
        <v>41110</v>
      </c>
      <c r="B404" s="1327">
        <v>145</v>
      </c>
      <c r="C404" s="64">
        <f t="shared" si="9"/>
        <v>3.5091319811270193E-2</v>
      </c>
    </row>
    <row r="405" spans="1:3" ht="15.75" thickBot="1">
      <c r="A405" s="1326">
        <v>41113</v>
      </c>
      <c r="B405" s="1327">
        <v>151</v>
      </c>
      <c r="C405" s="64">
        <f t="shared" si="9"/>
        <v>4.0546094394350009E-2</v>
      </c>
    </row>
    <row r="406" spans="1:3" ht="15.75" thickBot="1">
      <c r="A406" s="1326">
        <v>41114</v>
      </c>
      <c r="B406" s="1327">
        <v>159</v>
      </c>
      <c r="C406" s="64">
        <f t="shared" si="9"/>
        <v>5.1624365405307245E-2</v>
      </c>
    </row>
    <row r="407" spans="1:3" ht="15.75" thickBot="1">
      <c r="A407" s="1326">
        <v>41115</v>
      </c>
      <c r="B407" s="1327">
        <v>160</v>
      </c>
      <c r="C407" s="64">
        <f t="shared" si="9"/>
        <v>6.269613013595395E-3</v>
      </c>
    </row>
    <row r="408" spans="1:3" ht="15.75" thickBot="1">
      <c r="A408" s="1326">
        <v>41116</v>
      </c>
      <c r="B408" s="1327">
        <v>156</v>
      </c>
      <c r="C408" s="64">
        <f t="shared" si="9"/>
        <v>-2.5317807984289897E-2</v>
      </c>
    </row>
    <row r="409" spans="1:3" ht="15.75" thickBot="1">
      <c r="A409" s="1326">
        <v>41117</v>
      </c>
      <c r="B409" s="1327">
        <v>143</v>
      </c>
      <c r="C409" s="64">
        <f t="shared" si="9"/>
        <v>-8.701137698962981E-2</v>
      </c>
    </row>
    <row r="410" spans="1:3" ht="15.75" thickBot="1">
      <c r="A410" s="1326">
        <v>41120</v>
      </c>
      <c r="B410" s="1327">
        <v>142</v>
      </c>
      <c r="C410" s="64">
        <f t="shared" si="9"/>
        <v>-7.0175726586465346E-3</v>
      </c>
    </row>
    <row r="411" spans="1:3" ht="15.75" thickBot="1">
      <c r="A411" s="1326">
        <v>41121</v>
      </c>
      <c r="B411" s="1327">
        <v>140</v>
      </c>
      <c r="C411" s="64">
        <f t="shared" si="9"/>
        <v>-1.4184634991956413E-2</v>
      </c>
    </row>
    <row r="412" spans="1:3" ht="15.75" thickBot="1">
      <c r="A412" s="1326">
        <v>41122</v>
      </c>
      <c r="B412" s="1327">
        <v>128</v>
      </c>
      <c r="C412" s="64">
        <f t="shared" si="9"/>
        <v>-8.9612158689687166E-2</v>
      </c>
    </row>
    <row r="413" spans="1:3" ht="15.75" thickBot="1">
      <c r="A413" s="1326">
        <v>41123</v>
      </c>
      <c r="B413" s="1327">
        <v>136</v>
      </c>
      <c r="C413" s="64">
        <f t="shared" si="9"/>
        <v>6.062462181643484E-2</v>
      </c>
    </row>
    <row r="414" spans="1:3" ht="15.75" thickBot="1">
      <c r="A414" s="1326">
        <v>41124</v>
      </c>
      <c r="B414" s="1327">
        <v>129</v>
      </c>
      <c r="C414" s="64">
        <f t="shared" si="9"/>
        <v>-5.2842481374379933E-2</v>
      </c>
    </row>
    <row r="415" spans="1:3" ht="15.75" thickBot="1">
      <c r="A415" s="1326">
        <v>41127</v>
      </c>
      <c r="B415" s="1327">
        <v>129</v>
      </c>
      <c r="C415" s="64">
        <f t="shared" si="9"/>
        <v>0</v>
      </c>
    </row>
    <row r="416" spans="1:3" ht="15.75" thickBot="1">
      <c r="A416" s="1326">
        <v>41128</v>
      </c>
      <c r="B416" s="1327">
        <v>124</v>
      </c>
      <c r="C416" s="64">
        <f t="shared" si="9"/>
        <v>-3.9530838756635205E-2</v>
      </c>
    </row>
    <row r="417" spans="1:3" ht="15.75" thickBot="1">
      <c r="A417" s="1326">
        <v>41129</v>
      </c>
      <c r="B417" s="1327">
        <v>122</v>
      </c>
      <c r="C417" s="64">
        <f t="shared" si="9"/>
        <v>-1.6260520871780291E-2</v>
      </c>
    </row>
    <row r="418" spans="1:3" ht="15.75" thickBot="1">
      <c r="A418" s="1326">
        <v>41130</v>
      </c>
      <c r="B418" s="1327">
        <v>123</v>
      </c>
      <c r="C418" s="64">
        <f t="shared" si="9"/>
        <v>8.1633106391608354E-3</v>
      </c>
    </row>
    <row r="419" spans="1:3" ht="15.75" thickBot="1">
      <c r="A419" s="1326">
        <v>41131</v>
      </c>
      <c r="B419" s="1327">
        <v>126</v>
      </c>
      <c r="C419" s="64">
        <f t="shared" si="9"/>
        <v>2.4097551579060524E-2</v>
      </c>
    </row>
    <row r="420" spans="1:3" ht="15.75" thickBot="1">
      <c r="A420" s="1326">
        <v>41134</v>
      </c>
      <c r="B420" s="1327">
        <v>126</v>
      </c>
      <c r="C420" s="64">
        <f t="shared" si="9"/>
        <v>0</v>
      </c>
    </row>
    <row r="421" spans="1:3" ht="15.75" thickBot="1">
      <c r="A421" s="1326">
        <v>41135</v>
      </c>
      <c r="B421" s="1327">
        <v>125</v>
      </c>
      <c r="C421" s="64">
        <f t="shared" si="9"/>
        <v>-7.9681696491768449E-3</v>
      </c>
    </row>
    <row r="422" spans="1:3" ht="15.75" thickBot="1">
      <c r="A422" s="1326">
        <v>41136</v>
      </c>
      <c r="B422" s="1327">
        <v>124</v>
      </c>
      <c r="C422" s="64">
        <f t="shared" si="9"/>
        <v>-8.0321716972642666E-3</v>
      </c>
    </row>
    <row r="423" spans="1:3" ht="15.75" thickBot="1">
      <c r="A423" s="1326">
        <v>41137</v>
      </c>
      <c r="B423" s="1327">
        <v>127</v>
      </c>
      <c r="C423" s="64">
        <f t="shared" si="9"/>
        <v>2.3905520853554386E-2</v>
      </c>
    </row>
    <row r="424" spans="1:3" ht="15.75" thickBot="1">
      <c r="A424" s="1326">
        <v>41138</v>
      </c>
      <c r="B424" s="1327">
        <v>129</v>
      </c>
      <c r="C424" s="64">
        <f t="shared" si="9"/>
        <v>1.5625317903080815E-2</v>
      </c>
    </row>
    <row r="425" spans="1:3" ht="15.75" thickBot="1">
      <c r="A425" s="1326">
        <v>41141</v>
      </c>
      <c r="B425" s="1327">
        <v>129</v>
      </c>
      <c r="C425" s="64">
        <f t="shared" si="9"/>
        <v>0</v>
      </c>
    </row>
    <row r="426" spans="1:3" ht="15.75" thickBot="1">
      <c r="A426" s="1326">
        <v>41142</v>
      </c>
      <c r="B426" s="1327">
        <v>128</v>
      </c>
      <c r="C426" s="64">
        <f t="shared" si="9"/>
        <v>-7.7821404420549628E-3</v>
      </c>
    </row>
    <row r="427" spans="1:3" ht="15.75" thickBot="1">
      <c r="A427" s="1326">
        <v>41143</v>
      </c>
      <c r="B427" s="1327">
        <v>128</v>
      </c>
      <c r="C427" s="64">
        <f t="shared" si="9"/>
        <v>0</v>
      </c>
    </row>
    <row r="428" spans="1:3" ht="15.75" thickBot="1">
      <c r="A428" s="1326">
        <v>41144</v>
      </c>
      <c r="B428" s="1327">
        <v>131</v>
      </c>
      <c r="C428" s="64">
        <f t="shared" si="9"/>
        <v>2.3167059281534379E-2</v>
      </c>
    </row>
    <row r="429" spans="1:3" ht="15.75" thickBot="1">
      <c r="A429" s="1326">
        <v>41145</v>
      </c>
      <c r="B429" s="1327">
        <v>131</v>
      </c>
      <c r="C429" s="64">
        <f t="shared" si="9"/>
        <v>0</v>
      </c>
    </row>
    <row r="430" spans="1:3" ht="15.75" thickBot="1">
      <c r="A430" s="1326">
        <v>41148</v>
      </c>
      <c r="B430" s="1327">
        <v>135</v>
      </c>
      <c r="C430" s="64">
        <f t="shared" si="9"/>
        <v>3.0077455237277954E-2</v>
      </c>
    </row>
    <row r="431" spans="1:3" ht="15.75" thickBot="1">
      <c r="A431" s="1326">
        <v>41149</v>
      </c>
      <c r="B431" s="1327">
        <v>132</v>
      </c>
      <c r="C431" s="64">
        <f t="shared" si="9"/>
        <v>-2.2472855852058628E-2</v>
      </c>
    </row>
    <row r="432" spans="1:3" ht="15.75" thickBot="1">
      <c r="A432" s="1326">
        <v>41150</v>
      </c>
      <c r="B432" s="1327">
        <v>133</v>
      </c>
      <c r="C432" s="64">
        <f t="shared" si="9"/>
        <v>7.5472056353829038E-3</v>
      </c>
    </row>
    <row r="433" spans="1:3" ht="15.75" thickBot="1">
      <c r="A433" s="1326">
        <v>41151</v>
      </c>
      <c r="B433" s="1327">
        <v>130</v>
      </c>
      <c r="C433" s="64">
        <f t="shared" si="9"/>
        <v>-2.2814677766171399E-2</v>
      </c>
    </row>
    <row r="434" spans="1:3" ht="15.75" thickBot="1">
      <c r="A434" s="1326">
        <v>41152</v>
      </c>
      <c r="B434" s="1327">
        <v>137</v>
      </c>
      <c r="C434" s="64">
        <f t="shared" si="9"/>
        <v>5.2446475372542524E-2</v>
      </c>
    </row>
    <row r="435" spans="1:3" ht="15.75" thickBot="1">
      <c r="A435" s="1326">
        <v>41155</v>
      </c>
      <c r="B435" s="1327">
        <v>137</v>
      </c>
      <c r="C435" s="64">
        <f t="shared" si="9"/>
        <v>0</v>
      </c>
    </row>
    <row r="436" spans="1:3" ht="15.75" thickBot="1">
      <c r="A436" s="1326">
        <v>41156</v>
      </c>
      <c r="B436" s="1327">
        <v>134</v>
      </c>
      <c r="C436" s="64">
        <f t="shared" si="9"/>
        <v>-2.2141125877213518E-2</v>
      </c>
    </row>
    <row r="437" spans="1:3" ht="15.75" thickBot="1">
      <c r="A437" s="1326">
        <v>41157</v>
      </c>
      <c r="B437" s="1327">
        <v>133</v>
      </c>
      <c r="C437" s="64">
        <f t="shared" si="9"/>
        <v>-7.4906717291576257E-3</v>
      </c>
    </row>
    <row r="438" spans="1:3" ht="15.75" thickBot="1">
      <c r="A438" s="1326">
        <v>41158</v>
      </c>
      <c r="B438" s="1327">
        <v>126</v>
      </c>
      <c r="C438" s="64">
        <f t="shared" si="9"/>
        <v>-5.4067221270275821E-2</v>
      </c>
    </row>
    <row r="439" spans="1:3" ht="15.75" thickBot="1">
      <c r="A439" s="1326">
        <v>41159</v>
      </c>
      <c r="B439" s="1327">
        <v>128</v>
      </c>
      <c r="C439" s="64">
        <f t="shared" si="9"/>
        <v>1.5748356968139112E-2</v>
      </c>
    </row>
    <row r="440" spans="1:3" ht="15.75" thickBot="1">
      <c r="A440" s="1326">
        <v>41162</v>
      </c>
      <c r="B440" s="1327">
        <v>126</v>
      </c>
      <c r="C440" s="64">
        <f t="shared" si="9"/>
        <v>-1.5748356968139168E-2</v>
      </c>
    </row>
    <row r="441" spans="1:3" ht="15.75" thickBot="1">
      <c r="A441" s="1326">
        <v>41163</v>
      </c>
      <c r="B441" s="1327">
        <v>125</v>
      </c>
      <c r="C441" s="64">
        <f t="shared" si="9"/>
        <v>-7.9681696491768449E-3</v>
      </c>
    </row>
    <row r="442" spans="1:3" ht="15.75" thickBot="1">
      <c r="A442" s="1326">
        <v>41164</v>
      </c>
      <c r="B442" s="1327">
        <v>120</v>
      </c>
      <c r="C442" s="64">
        <f t="shared" si="9"/>
        <v>-4.0821994520255166E-2</v>
      </c>
    </row>
    <row r="443" spans="1:3" ht="15.75" thickBot="1">
      <c r="A443" s="1326">
        <v>41165</v>
      </c>
      <c r="B443" s="1327">
        <v>122</v>
      </c>
      <c r="C443" s="64">
        <f t="shared" si="9"/>
        <v>1.6529301951210506E-2</v>
      </c>
    </row>
    <row r="444" spans="1:3" ht="15.75" thickBot="1">
      <c r="A444" s="1326">
        <v>41166</v>
      </c>
      <c r="B444" s="1327">
        <v>112</v>
      </c>
      <c r="C444" s="64">
        <f t="shared" si="9"/>
        <v>-8.5522173438162E-2</v>
      </c>
    </row>
    <row r="445" spans="1:3" ht="15.75" thickBot="1">
      <c r="A445" s="1326">
        <v>41169</v>
      </c>
      <c r="B445" s="1327">
        <v>119</v>
      </c>
      <c r="C445" s="64">
        <f t="shared" si="9"/>
        <v>6.062462181643484E-2</v>
      </c>
    </row>
    <row r="446" spans="1:3" ht="15.75" thickBot="1">
      <c r="A446" s="1326">
        <v>41170</v>
      </c>
      <c r="B446" s="1327">
        <v>120</v>
      </c>
      <c r="C446" s="64">
        <f t="shared" si="9"/>
        <v>8.3682496705165792E-3</v>
      </c>
    </row>
    <row r="447" spans="1:3" ht="15.75" thickBot="1">
      <c r="A447" s="1326">
        <v>41171</v>
      </c>
      <c r="B447" s="1327">
        <v>122</v>
      </c>
      <c r="C447" s="64">
        <f t="shared" si="9"/>
        <v>1.6529301951210506E-2</v>
      </c>
    </row>
    <row r="448" spans="1:3" ht="15.75" thickBot="1">
      <c r="A448" s="1326">
        <v>41172</v>
      </c>
      <c r="B448" s="1327">
        <v>122</v>
      </c>
      <c r="C448" s="64">
        <f t="shared" si="9"/>
        <v>0</v>
      </c>
    </row>
    <row r="449" spans="1:3" ht="15.75" thickBot="1">
      <c r="A449" s="1326">
        <v>41173</v>
      </c>
      <c r="B449" s="1327">
        <v>122</v>
      </c>
      <c r="C449" s="64">
        <f t="shared" si="9"/>
        <v>0</v>
      </c>
    </row>
    <row r="450" spans="1:3" ht="15.75" thickBot="1">
      <c r="A450" s="1326">
        <v>41176</v>
      </c>
      <c r="B450" s="1327">
        <v>125</v>
      </c>
      <c r="C450" s="64">
        <f t="shared" si="9"/>
        <v>2.4292692569044483E-2</v>
      </c>
    </row>
    <row r="451" spans="1:3" ht="15.75" thickBot="1">
      <c r="A451" s="1326">
        <v>41177</v>
      </c>
      <c r="B451" s="1327">
        <v>131</v>
      </c>
      <c r="C451" s="64">
        <f t="shared" si="9"/>
        <v>4.6883585898850458E-2</v>
      </c>
    </row>
    <row r="452" spans="1:3" ht="15.75" thickBot="1">
      <c r="A452" s="1326">
        <v>41178</v>
      </c>
      <c r="B452" s="1327">
        <v>134</v>
      </c>
      <c r="C452" s="64">
        <f t="shared" ref="C452:C515" si="10">+LN(B452/B451)</f>
        <v>2.2642476749759752E-2</v>
      </c>
    </row>
    <row r="453" spans="1:3" ht="15.75" thickBot="1">
      <c r="A453" s="1326">
        <v>41179</v>
      </c>
      <c r="B453" s="1327">
        <v>131</v>
      </c>
      <c r="C453" s="64">
        <f t="shared" si="10"/>
        <v>-2.2642476749759777E-2</v>
      </c>
    </row>
    <row r="454" spans="1:3" ht="15.75" thickBot="1">
      <c r="A454" s="1326">
        <v>41180</v>
      </c>
      <c r="B454" s="1327">
        <v>132</v>
      </c>
      <c r="C454" s="64">
        <f t="shared" si="10"/>
        <v>7.6045993852192125E-3</v>
      </c>
    </row>
    <row r="455" spans="1:3" ht="15.75" thickBot="1">
      <c r="A455" s="1326">
        <v>41183</v>
      </c>
      <c r="B455" s="1327">
        <v>129</v>
      </c>
      <c r="C455" s="64">
        <f t="shared" si="10"/>
        <v>-2.2989518224698718E-2</v>
      </c>
    </row>
    <row r="456" spans="1:3" ht="15.75" thickBot="1">
      <c r="A456" s="1326">
        <v>41184</v>
      </c>
      <c r="B456" s="1327">
        <v>124</v>
      </c>
      <c r="C456" s="64">
        <f t="shared" si="10"/>
        <v>-3.9530838756635205E-2</v>
      </c>
    </row>
    <row r="457" spans="1:3" ht="15.75" thickBot="1">
      <c r="A457" s="1326">
        <v>41185</v>
      </c>
      <c r="B457" s="1327">
        <v>119</v>
      </c>
      <c r="C457" s="64">
        <f t="shared" si="10"/>
        <v>-4.115807249350744E-2</v>
      </c>
    </row>
    <row r="458" spans="1:3" ht="15.75" thickBot="1">
      <c r="A458" s="1326">
        <v>41186</v>
      </c>
      <c r="B458" s="1327">
        <v>114</v>
      </c>
      <c r="C458" s="64">
        <f t="shared" si="10"/>
        <v>-4.2925044717033886E-2</v>
      </c>
    </row>
    <row r="459" spans="1:3" ht="15.75" thickBot="1">
      <c r="A459" s="1326">
        <v>41187</v>
      </c>
      <c r="B459" s="1327">
        <v>106</v>
      </c>
      <c r="C459" s="64">
        <f t="shared" si="10"/>
        <v>-7.2759354282428315E-2</v>
      </c>
    </row>
    <row r="460" spans="1:3" ht="15.75" thickBot="1">
      <c r="A460" s="1326">
        <v>41190</v>
      </c>
      <c r="B460" s="1327">
        <v>106</v>
      </c>
      <c r="C460" s="64">
        <f t="shared" si="10"/>
        <v>0</v>
      </c>
    </row>
    <row r="461" spans="1:3" ht="15.75" thickBot="1">
      <c r="A461" s="1326">
        <v>41191</v>
      </c>
      <c r="B461" s="1327">
        <v>108</v>
      </c>
      <c r="C461" s="64">
        <f t="shared" si="10"/>
        <v>1.8692133012152546E-2</v>
      </c>
    </row>
    <row r="462" spans="1:3" ht="15.75" thickBot="1">
      <c r="A462" s="1326">
        <v>41192</v>
      </c>
      <c r="B462" s="1327">
        <v>113</v>
      </c>
      <c r="C462" s="64">
        <f t="shared" si="10"/>
        <v>4.5256591588120863E-2</v>
      </c>
    </row>
    <row r="463" spans="1:3" ht="15.75" thickBot="1">
      <c r="A463" s="1326">
        <v>41193</v>
      </c>
      <c r="B463" s="1327">
        <v>112</v>
      </c>
      <c r="C463" s="64">
        <f t="shared" si="10"/>
        <v>-8.8889474172460393E-3</v>
      </c>
    </row>
    <row r="464" spans="1:3" ht="15.75" thickBot="1">
      <c r="A464" s="1326">
        <v>41194</v>
      </c>
      <c r="B464" s="1327">
        <v>110</v>
      </c>
      <c r="C464" s="64">
        <f t="shared" si="10"/>
        <v>-1.8018505502678365E-2</v>
      </c>
    </row>
    <row r="465" spans="1:3" ht="15.75" thickBot="1">
      <c r="A465" s="1326">
        <v>41197</v>
      </c>
      <c r="B465" s="1327">
        <v>107</v>
      </c>
      <c r="C465" s="64">
        <f t="shared" si="10"/>
        <v>-2.7651531330510008E-2</v>
      </c>
    </row>
    <row r="466" spans="1:3" ht="15.75" thickBot="1">
      <c r="A466" s="1326">
        <v>41198</v>
      </c>
      <c r="B466" s="1327">
        <v>102</v>
      </c>
      <c r="C466" s="64">
        <f t="shared" si="10"/>
        <v>-4.78560211776351E-2</v>
      </c>
    </row>
    <row r="467" spans="1:3" ht="15.75" thickBot="1">
      <c r="A467" s="1326">
        <v>41199</v>
      </c>
      <c r="B467" s="1327">
        <v>98</v>
      </c>
      <c r="C467" s="64">
        <f t="shared" si="10"/>
        <v>-4.000533461369913E-2</v>
      </c>
    </row>
    <row r="468" spans="1:3" ht="15.75" thickBot="1">
      <c r="A468" s="1326">
        <v>41200</v>
      </c>
      <c r="B468" s="1327">
        <v>96</v>
      </c>
      <c r="C468" s="64">
        <f t="shared" si="10"/>
        <v>-2.0619287202735703E-2</v>
      </c>
    </row>
    <row r="469" spans="1:3" ht="15.75" thickBot="1">
      <c r="A469" s="1326">
        <v>41201</v>
      </c>
      <c r="B469" s="1327">
        <v>103</v>
      </c>
      <c r="C469" s="64">
        <f t="shared" si="10"/>
        <v>7.0380796761799605E-2</v>
      </c>
    </row>
    <row r="470" spans="1:3" ht="15.75" thickBot="1">
      <c r="A470" s="1326">
        <v>41204</v>
      </c>
      <c r="B470" s="1327">
        <v>104</v>
      </c>
      <c r="C470" s="64">
        <f t="shared" si="10"/>
        <v>9.6619109117368901E-3</v>
      </c>
    </row>
    <row r="471" spans="1:3" ht="15.75" thickBot="1">
      <c r="A471" s="1326">
        <v>41205</v>
      </c>
      <c r="B471" s="1327">
        <v>106</v>
      </c>
      <c r="C471" s="64">
        <f t="shared" si="10"/>
        <v>1.9048194970694411E-2</v>
      </c>
    </row>
    <row r="472" spans="1:3" ht="15.75" thickBot="1">
      <c r="A472" s="1326">
        <v>41206</v>
      </c>
      <c r="B472" s="1327">
        <v>107</v>
      </c>
      <c r="C472" s="64">
        <f t="shared" si="10"/>
        <v>9.3897403498391374E-3</v>
      </c>
    </row>
    <row r="473" spans="1:3" ht="15.75" thickBot="1">
      <c r="A473" s="1326">
        <v>41207</v>
      </c>
      <c r="B473" s="1327">
        <v>106</v>
      </c>
      <c r="C473" s="64">
        <f t="shared" si="10"/>
        <v>-9.3897403498390316E-3</v>
      </c>
    </row>
    <row r="474" spans="1:3" ht="15.75" thickBot="1">
      <c r="A474" s="1326">
        <v>41208</v>
      </c>
      <c r="B474" s="1327">
        <v>115</v>
      </c>
      <c r="C474" s="64">
        <f t="shared" si="10"/>
        <v>8.1493034251183011E-2</v>
      </c>
    </row>
    <row r="475" spans="1:3" ht="15.75" thickBot="1">
      <c r="A475" s="1326">
        <v>41211</v>
      </c>
      <c r="B475" s="1327">
        <v>119</v>
      </c>
      <c r="C475" s="64">
        <f t="shared" si="10"/>
        <v>3.4191364748279343E-2</v>
      </c>
    </row>
    <row r="476" spans="1:3" ht="15.75" thickBot="1">
      <c r="A476" s="1326">
        <v>41212</v>
      </c>
      <c r="B476" s="1327">
        <v>119</v>
      </c>
      <c r="C476" s="64">
        <f t="shared" si="10"/>
        <v>0</v>
      </c>
    </row>
    <row r="477" spans="1:3" ht="15.75" thickBot="1">
      <c r="A477" s="1326">
        <v>41213</v>
      </c>
      <c r="B477" s="1327">
        <v>122</v>
      </c>
      <c r="C477" s="64">
        <f t="shared" si="10"/>
        <v>2.4897551621727087E-2</v>
      </c>
    </row>
    <row r="478" spans="1:3" ht="15.75" thickBot="1">
      <c r="A478" s="1326">
        <v>41214</v>
      </c>
      <c r="B478" s="1327">
        <v>117</v>
      </c>
      <c r="C478" s="64">
        <f t="shared" si="10"/>
        <v>-4.184710993550049E-2</v>
      </c>
    </row>
    <row r="479" spans="1:3" ht="15.75" thickBot="1">
      <c r="A479" s="1326">
        <v>41215</v>
      </c>
      <c r="B479" s="1327">
        <v>117</v>
      </c>
      <c r="C479" s="64">
        <f t="shared" si="10"/>
        <v>0</v>
      </c>
    </row>
    <row r="480" spans="1:3" ht="15.75" thickBot="1">
      <c r="A480" s="1326">
        <v>41218</v>
      </c>
      <c r="B480" s="1327">
        <v>115</v>
      </c>
      <c r="C480" s="64">
        <f t="shared" si="10"/>
        <v>-1.7241806434506103E-2</v>
      </c>
    </row>
    <row r="481" spans="1:3" ht="15.75" thickBot="1">
      <c r="A481" s="1326">
        <v>41219</v>
      </c>
      <c r="B481" s="1327">
        <v>109</v>
      </c>
      <c r="C481" s="64">
        <f t="shared" si="10"/>
        <v>-5.3584246134106402E-2</v>
      </c>
    </row>
    <row r="482" spans="1:3" ht="15.75" thickBot="1">
      <c r="A482" s="1326">
        <v>41220</v>
      </c>
      <c r="B482" s="1327">
        <v>116</v>
      </c>
      <c r="C482" s="64">
        <f t="shared" si="10"/>
        <v>6.2242308877221E-2</v>
      </c>
    </row>
    <row r="483" spans="1:3" ht="15.75" thickBot="1">
      <c r="A483" s="1326">
        <v>41221</v>
      </c>
      <c r="B483" s="1327">
        <v>120</v>
      </c>
      <c r="C483" s="64">
        <f t="shared" si="10"/>
        <v>3.3901551675681416E-2</v>
      </c>
    </row>
    <row r="484" spans="1:3" ht="15.75" thickBot="1">
      <c r="A484" s="1326">
        <v>41222</v>
      </c>
      <c r="B484" s="1327">
        <v>122</v>
      </c>
      <c r="C484" s="64">
        <f t="shared" si="10"/>
        <v>1.6529301951210506E-2</v>
      </c>
    </row>
    <row r="485" spans="1:3" ht="15.75" thickBot="1">
      <c r="A485" s="1326">
        <v>41225</v>
      </c>
      <c r="B485" s="1327">
        <v>122</v>
      </c>
      <c r="C485" s="64">
        <f t="shared" si="10"/>
        <v>0</v>
      </c>
    </row>
    <row r="486" spans="1:3" ht="15.75" thickBot="1">
      <c r="A486" s="1326">
        <v>41226</v>
      </c>
      <c r="B486" s="1327">
        <v>126</v>
      </c>
      <c r="C486" s="64">
        <f t="shared" si="10"/>
        <v>3.2260862218221477E-2</v>
      </c>
    </row>
    <row r="487" spans="1:3" ht="15.75" thickBot="1">
      <c r="A487" s="1326">
        <v>41227</v>
      </c>
      <c r="B487" s="1327">
        <v>129</v>
      </c>
      <c r="C487" s="64">
        <f t="shared" si="10"/>
        <v>2.3530497410194036E-2</v>
      </c>
    </row>
    <row r="488" spans="1:3" ht="15.75" thickBot="1">
      <c r="A488" s="1326">
        <v>41228</v>
      </c>
      <c r="B488" s="1327">
        <v>130</v>
      </c>
      <c r="C488" s="64">
        <f t="shared" si="10"/>
        <v>7.7220460939103185E-3</v>
      </c>
    </row>
    <row r="489" spans="1:3" ht="15.75" thickBot="1">
      <c r="A489" s="1326">
        <v>41229</v>
      </c>
      <c r="B489" s="1327">
        <v>129</v>
      </c>
      <c r="C489" s="64">
        <f t="shared" si="10"/>
        <v>-7.7220460939102778E-3</v>
      </c>
    </row>
    <row r="490" spans="1:3" ht="15.75" thickBot="1">
      <c r="A490" s="1326">
        <v>41232</v>
      </c>
      <c r="B490" s="1327">
        <v>130</v>
      </c>
      <c r="C490" s="64">
        <f t="shared" si="10"/>
        <v>7.7220460939103185E-3</v>
      </c>
    </row>
    <row r="491" spans="1:3" ht="15.75" thickBot="1">
      <c r="A491" s="1326">
        <v>41233</v>
      </c>
      <c r="B491" s="1327">
        <v>127</v>
      </c>
      <c r="C491" s="64">
        <f t="shared" si="10"/>
        <v>-2.3347363996991177E-2</v>
      </c>
    </row>
    <row r="492" spans="1:3" ht="15.75" thickBot="1">
      <c r="A492" s="1326">
        <v>41234</v>
      </c>
      <c r="B492" s="1327">
        <v>125</v>
      </c>
      <c r="C492" s="64">
        <f t="shared" si="10"/>
        <v>-1.5873349156290122E-2</v>
      </c>
    </row>
    <row r="493" spans="1:3" ht="15.75" thickBot="1">
      <c r="A493" s="1326">
        <v>41235</v>
      </c>
      <c r="B493" s="1327">
        <v>125</v>
      </c>
      <c r="C493" s="64">
        <f t="shared" si="10"/>
        <v>0</v>
      </c>
    </row>
    <row r="494" spans="1:3" ht="15.75" thickBot="1">
      <c r="A494" s="1326">
        <v>41236</v>
      </c>
      <c r="B494" s="1327">
        <v>125</v>
      </c>
      <c r="C494" s="64">
        <f t="shared" si="10"/>
        <v>0</v>
      </c>
    </row>
    <row r="495" spans="1:3" ht="15.75" thickBot="1">
      <c r="A495" s="1326">
        <v>41239</v>
      </c>
      <c r="B495" s="1327">
        <v>126</v>
      </c>
      <c r="C495" s="64">
        <f t="shared" si="10"/>
        <v>7.9681696491768813E-3</v>
      </c>
    </row>
    <row r="496" spans="1:3" ht="15.75" thickBot="1">
      <c r="A496" s="1326">
        <v>41240</v>
      </c>
      <c r="B496" s="1327">
        <v>125</v>
      </c>
      <c r="C496" s="64">
        <f t="shared" si="10"/>
        <v>-7.9681696491768449E-3</v>
      </c>
    </row>
    <row r="497" spans="1:3" ht="15.75" thickBot="1">
      <c r="A497" s="1326">
        <v>41241</v>
      </c>
      <c r="B497" s="1327">
        <v>122</v>
      </c>
      <c r="C497" s="64">
        <f t="shared" si="10"/>
        <v>-2.4292692569044587E-2</v>
      </c>
    </row>
    <row r="498" spans="1:3" ht="15.75" thickBot="1">
      <c r="A498" s="1326">
        <v>41242</v>
      </c>
      <c r="B498" s="1327">
        <v>121</v>
      </c>
      <c r="C498" s="64">
        <f t="shared" si="10"/>
        <v>-8.23049913651548E-3</v>
      </c>
    </row>
    <row r="499" spans="1:3" ht="15.75" thickBot="1">
      <c r="A499" s="1326">
        <v>41243</v>
      </c>
      <c r="B499" s="1327">
        <v>124</v>
      </c>
      <c r="C499" s="64">
        <f t="shared" si="10"/>
        <v>2.4491020008295696E-2</v>
      </c>
    </row>
    <row r="500" spans="1:3" ht="15.75" thickBot="1">
      <c r="A500" s="1326">
        <v>41246</v>
      </c>
      <c r="B500" s="1327">
        <v>123</v>
      </c>
      <c r="C500" s="64">
        <f t="shared" si="10"/>
        <v>-8.0972102326193618E-3</v>
      </c>
    </row>
    <row r="501" spans="1:3" ht="15.75" thickBot="1">
      <c r="A501" s="1326">
        <v>41247</v>
      </c>
      <c r="B501" s="1327">
        <v>122</v>
      </c>
      <c r="C501" s="64">
        <f t="shared" si="10"/>
        <v>-8.1633106391609811E-3</v>
      </c>
    </row>
    <row r="502" spans="1:3" ht="15.75" thickBot="1">
      <c r="A502" s="1326">
        <v>41248</v>
      </c>
      <c r="B502" s="1327">
        <v>126</v>
      </c>
      <c r="C502" s="64">
        <f t="shared" si="10"/>
        <v>3.2260862218221477E-2</v>
      </c>
    </row>
    <row r="503" spans="1:3" ht="15.75" thickBot="1">
      <c r="A503" s="1326">
        <v>41249</v>
      </c>
      <c r="B503" s="1327">
        <v>125</v>
      </c>
      <c r="C503" s="64">
        <f t="shared" si="10"/>
        <v>-7.9681696491768449E-3</v>
      </c>
    </row>
    <row r="504" spans="1:3" ht="15.75" thickBot="1">
      <c r="A504" s="1326">
        <v>41250</v>
      </c>
      <c r="B504" s="1327">
        <v>123</v>
      </c>
      <c r="C504" s="64">
        <f t="shared" si="10"/>
        <v>-1.6129381929883644E-2</v>
      </c>
    </row>
    <row r="505" spans="1:3" ht="15.75" thickBot="1">
      <c r="A505" s="1326">
        <v>41253</v>
      </c>
      <c r="B505" s="1327">
        <v>122</v>
      </c>
      <c r="C505" s="64">
        <f t="shared" si="10"/>
        <v>-8.1633106391609811E-3</v>
      </c>
    </row>
    <row r="506" spans="1:3" ht="15.75" thickBot="1">
      <c r="A506" s="1326">
        <v>41254</v>
      </c>
      <c r="B506" s="1327">
        <v>121</v>
      </c>
      <c r="C506" s="64">
        <f t="shared" si="10"/>
        <v>-8.23049913651548E-3</v>
      </c>
    </row>
    <row r="507" spans="1:3" ht="15.75" thickBot="1">
      <c r="A507" s="1326">
        <v>41255</v>
      </c>
      <c r="B507" s="1327">
        <v>118</v>
      </c>
      <c r="C507" s="64">
        <f t="shared" si="10"/>
        <v>-2.5105921131076358E-2</v>
      </c>
    </row>
    <row r="508" spans="1:3" ht="15.75" thickBot="1">
      <c r="A508" s="1326">
        <v>41256</v>
      </c>
      <c r="B508" s="1327">
        <v>116</v>
      </c>
      <c r="C508" s="64">
        <f t="shared" si="10"/>
        <v>-1.7094433359300068E-2</v>
      </c>
    </row>
    <row r="509" spans="1:3" ht="15.75" thickBot="1">
      <c r="A509" s="1326">
        <v>41257</v>
      </c>
      <c r="B509" s="1327">
        <v>116</v>
      </c>
      <c r="C509" s="64">
        <f t="shared" si="10"/>
        <v>0</v>
      </c>
    </row>
    <row r="510" spans="1:3" ht="15.75" thickBot="1">
      <c r="A510" s="1326">
        <v>41260</v>
      </c>
      <c r="B510" s="1327">
        <v>111</v>
      </c>
      <c r="C510" s="64">
        <f t="shared" si="10"/>
        <v>-4.4059989794030543E-2</v>
      </c>
    </row>
    <row r="511" spans="1:3" ht="15.75" thickBot="1">
      <c r="A511" s="1326">
        <v>41261</v>
      </c>
      <c r="B511" s="1327">
        <v>108</v>
      </c>
      <c r="C511" s="64">
        <f t="shared" si="10"/>
        <v>-2.7398974188114388E-2</v>
      </c>
    </row>
    <row r="512" spans="1:3" ht="15.75" thickBot="1">
      <c r="A512" s="1326">
        <v>41262</v>
      </c>
      <c r="B512" s="1327">
        <v>109</v>
      </c>
      <c r="C512" s="64">
        <f t="shared" si="10"/>
        <v>9.2166551049240476E-3</v>
      </c>
    </row>
    <row r="513" spans="1:3" ht="15.75" thickBot="1">
      <c r="A513" s="1326">
        <v>41263</v>
      </c>
      <c r="B513" s="1327">
        <v>109</v>
      </c>
      <c r="C513" s="64">
        <f t="shared" si="10"/>
        <v>0</v>
      </c>
    </row>
    <row r="514" spans="1:3" ht="15.75" thickBot="1">
      <c r="A514" s="1326">
        <v>41264</v>
      </c>
      <c r="B514" s="1327">
        <v>113</v>
      </c>
      <c r="C514" s="64">
        <f t="shared" si="10"/>
        <v>3.6039936483196873E-2</v>
      </c>
    </row>
    <row r="515" spans="1:3" ht="15.75" thickBot="1">
      <c r="A515" s="1326">
        <v>41267</v>
      </c>
      <c r="B515" s="1327">
        <v>111</v>
      </c>
      <c r="C515" s="64">
        <f t="shared" si="10"/>
        <v>-1.7857617400006461E-2</v>
      </c>
    </row>
    <row r="516" spans="1:3" ht="15.75" thickBot="1">
      <c r="A516" s="1326">
        <v>41269</v>
      </c>
      <c r="B516" s="1327">
        <v>112</v>
      </c>
      <c r="C516" s="64">
        <f t="shared" ref="C516:C579" si="11">+LN(B516/B515)</f>
        <v>8.9686699827603161E-3</v>
      </c>
    </row>
    <row r="517" spans="1:3" ht="15.75" thickBot="1">
      <c r="A517" s="1326">
        <v>41270</v>
      </c>
      <c r="B517" s="1327">
        <v>116</v>
      </c>
      <c r="C517" s="64">
        <f t="shared" si="11"/>
        <v>3.5091319811270193E-2</v>
      </c>
    </row>
    <row r="518" spans="1:3" ht="15.75" thickBot="1">
      <c r="A518" s="1326">
        <v>41271</v>
      </c>
      <c r="B518" s="1327">
        <v>117</v>
      </c>
      <c r="C518" s="64">
        <f t="shared" si="11"/>
        <v>8.583743691391435E-3</v>
      </c>
    </row>
    <row r="519" spans="1:3" ht="15.75" thickBot="1">
      <c r="A519" s="1326">
        <v>41274</v>
      </c>
      <c r="B519" s="1327">
        <v>112</v>
      </c>
      <c r="C519" s="64">
        <f t="shared" si="11"/>
        <v>-4.3675063502661531E-2</v>
      </c>
    </row>
    <row r="520" spans="1:3" ht="15.75" thickBot="1">
      <c r="A520" s="1326">
        <v>41276</v>
      </c>
      <c r="B520" s="1327">
        <v>105</v>
      </c>
      <c r="C520" s="64">
        <f t="shared" si="11"/>
        <v>-6.4538521137571178E-2</v>
      </c>
    </row>
    <row r="521" spans="1:3" ht="15.75" thickBot="1">
      <c r="A521" s="1326">
        <v>41277</v>
      </c>
      <c r="B521" s="1327">
        <v>102</v>
      </c>
      <c r="C521" s="64">
        <f t="shared" si="11"/>
        <v>-2.8987536873252298E-2</v>
      </c>
    </row>
    <row r="522" spans="1:3" ht="15.75" thickBot="1">
      <c r="A522" s="1326">
        <v>41278</v>
      </c>
      <c r="B522" s="1327">
        <v>104</v>
      </c>
      <c r="C522" s="64">
        <f t="shared" si="11"/>
        <v>1.9418085857101516E-2</v>
      </c>
    </row>
    <row r="523" spans="1:3" ht="15.75" thickBot="1">
      <c r="A523" s="1326">
        <v>41281</v>
      </c>
      <c r="B523" s="1327">
        <v>108</v>
      </c>
      <c r="C523" s="64">
        <f t="shared" si="11"/>
        <v>3.7740327982847113E-2</v>
      </c>
    </row>
    <row r="524" spans="1:3" ht="15.75" thickBot="1">
      <c r="A524" s="1326">
        <v>41282</v>
      </c>
      <c r="B524" s="1327">
        <v>115</v>
      </c>
      <c r="C524" s="64">
        <f t="shared" si="11"/>
        <v>6.2800901239030441E-2</v>
      </c>
    </row>
    <row r="525" spans="1:3" ht="15.75" thickBot="1">
      <c r="A525" s="1326">
        <v>41283</v>
      </c>
      <c r="B525" s="1327">
        <v>117</v>
      </c>
      <c r="C525" s="64">
        <f t="shared" si="11"/>
        <v>1.7241806434505954E-2</v>
      </c>
    </row>
    <row r="526" spans="1:3" ht="15.75" thickBot="1">
      <c r="A526" s="1326">
        <v>41284</v>
      </c>
      <c r="B526" s="1327">
        <v>115</v>
      </c>
      <c r="C526" s="64">
        <f t="shared" si="11"/>
        <v>-1.7241806434506103E-2</v>
      </c>
    </row>
    <row r="527" spans="1:3" ht="15.75" thickBot="1">
      <c r="A527" s="1326">
        <v>41285</v>
      </c>
      <c r="B527" s="1327">
        <v>118</v>
      </c>
      <c r="C527" s="64">
        <f t="shared" si="11"/>
        <v>2.5752496102414764E-2</v>
      </c>
    </row>
    <row r="528" spans="1:3" ht="15.75" thickBot="1">
      <c r="A528" s="1326">
        <v>41288</v>
      </c>
      <c r="B528" s="1327">
        <v>114</v>
      </c>
      <c r="C528" s="64">
        <f t="shared" si="11"/>
        <v>-3.4486176071169321E-2</v>
      </c>
    </row>
    <row r="529" spans="1:3" ht="15.75" thickBot="1">
      <c r="A529" s="1326">
        <v>41289</v>
      </c>
      <c r="B529" s="1327">
        <v>113</v>
      </c>
      <c r="C529" s="64">
        <f t="shared" si="11"/>
        <v>-8.8106296821549197E-3</v>
      </c>
    </row>
    <row r="530" spans="1:3" ht="15.75" thickBot="1">
      <c r="A530" s="1326">
        <v>41290</v>
      </c>
      <c r="B530" s="1327">
        <v>112</v>
      </c>
      <c r="C530" s="64">
        <f t="shared" si="11"/>
        <v>-8.8889474172460393E-3</v>
      </c>
    </row>
    <row r="531" spans="1:3" ht="15.75" thickBot="1">
      <c r="A531" s="1326">
        <v>41291</v>
      </c>
      <c r="B531" s="1327">
        <v>107</v>
      </c>
      <c r="C531" s="64">
        <f t="shared" si="11"/>
        <v>-4.5670036833188321E-2</v>
      </c>
    </row>
    <row r="532" spans="1:3" ht="15.75" thickBot="1">
      <c r="A532" s="1326">
        <v>41292</v>
      </c>
      <c r="B532" s="1327">
        <v>107</v>
      </c>
      <c r="C532" s="64">
        <f t="shared" si="11"/>
        <v>0</v>
      </c>
    </row>
    <row r="533" spans="1:3" ht="15.75" thickBot="1">
      <c r="A533" s="1326">
        <v>41295</v>
      </c>
      <c r="B533" s="1327">
        <v>107</v>
      </c>
      <c r="C533" s="64">
        <f t="shared" si="11"/>
        <v>0</v>
      </c>
    </row>
    <row r="534" spans="1:3" ht="15.75" thickBot="1">
      <c r="A534" s="1326">
        <v>41296</v>
      </c>
      <c r="B534" s="1327">
        <v>109</v>
      </c>
      <c r="C534" s="64">
        <f t="shared" si="11"/>
        <v>1.8519047767237531E-2</v>
      </c>
    </row>
    <row r="535" spans="1:3" ht="15.75" thickBot="1">
      <c r="A535" s="1326">
        <v>41297</v>
      </c>
      <c r="B535" s="1327">
        <v>113</v>
      </c>
      <c r="C535" s="64">
        <f t="shared" si="11"/>
        <v>3.6039936483196873E-2</v>
      </c>
    </row>
    <row r="536" spans="1:3" ht="15.75" thickBot="1">
      <c r="A536" s="1326">
        <v>41298</v>
      </c>
      <c r="B536" s="1327">
        <v>113</v>
      </c>
      <c r="C536" s="64">
        <f t="shared" si="11"/>
        <v>0</v>
      </c>
    </row>
    <row r="537" spans="1:3" ht="15.75" thickBot="1">
      <c r="A537" s="1326">
        <v>41299</v>
      </c>
      <c r="B537" s="1327">
        <v>109</v>
      </c>
      <c r="C537" s="64">
        <f t="shared" si="11"/>
        <v>-3.6039936483196928E-2</v>
      </c>
    </row>
    <row r="538" spans="1:3" ht="15.75" thickBot="1">
      <c r="A538" s="1326">
        <v>41302</v>
      </c>
      <c r="B538" s="1327">
        <v>113</v>
      </c>
      <c r="C538" s="64">
        <f t="shared" si="11"/>
        <v>3.6039936483196873E-2</v>
      </c>
    </row>
    <row r="539" spans="1:3" ht="15.75" thickBot="1">
      <c r="A539" s="1326">
        <v>41303</v>
      </c>
      <c r="B539" s="1327">
        <v>117</v>
      </c>
      <c r="C539" s="64">
        <f t="shared" si="11"/>
        <v>3.4786116085415604E-2</v>
      </c>
    </row>
    <row r="540" spans="1:3" ht="15.75" thickBot="1">
      <c r="A540" s="1326">
        <v>41304</v>
      </c>
      <c r="B540" s="1327">
        <v>124</v>
      </c>
      <c r="C540" s="64">
        <f t="shared" si="11"/>
        <v>5.8107630807280757E-2</v>
      </c>
    </row>
    <row r="541" spans="1:3" ht="15.75" thickBot="1">
      <c r="A541" s="1326">
        <v>41305</v>
      </c>
      <c r="B541" s="1327">
        <v>132</v>
      </c>
      <c r="C541" s="64">
        <f t="shared" si="11"/>
        <v>6.252035698133393E-2</v>
      </c>
    </row>
    <row r="542" spans="1:3" ht="15.75" thickBot="1">
      <c r="A542" s="1326">
        <v>41306</v>
      </c>
      <c r="B542" s="1327">
        <v>129</v>
      </c>
      <c r="C542" s="64">
        <f t="shared" si="11"/>
        <v>-2.2989518224698718E-2</v>
      </c>
    </row>
    <row r="543" spans="1:3" ht="15.75" thickBot="1">
      <c r="A543" s="1326">
        <v>41309</v>
      </c>
      <c r="B543" s="1327">
        <v>133</v>
      </c>
      <c r="C543" s="64">
        <f t="shared" si="11"/>
        <v>3.0536723860081702E-2</v>
      </c>
    </row>
    <row r="544" spans="1:3" ht="15.75" thickBot="1">
      <c r="A544" s="1326">
        <v>41310</v>
      </c>
      <c r="B544" s="1327">
        <v>127</v>
      </c>
      <c r="C544" s="64">
        <f t="shared" si="11"/>
        <v>-4.6162041763162492E-2</v>
      </c>
    </row>
    <row r="545" spans="1:3" ht="15.75" thickBot="1">
      <c r="A545" s="1326">
        <v>41311</v>
      </c>
      <c r="B545" s="1327">
        <v>129</v>
      </c>
      <c r="C545" s="64">
        <f t="shared" si="11"/>
        <v>1.5625317903080815E-2</v>
      </c>
    </row>
    <row r="546" spans="1:3" ht="15.75" thickBot="1">
      <c r="A546" s="1326">
        <v>41312</v>
      </c>
      <c r="B546" s="1327">
        <v>125</v>
      </c>
      <c r="C546" s="64">
        <f t="shared" si="11"/>
        <v>-3.1498667059371051E-2</v>
      </c>
    </row>
    <row r="547" spans="1:3" ht="15.75" thickBot="1">
      <c r="A547" s="1326">
        <v>41313</v>
      </c>
      <c r="B547" s="1327">
        <v>122</v>
      </c>
      <c r="C547" s="64">
        <f t="shared" si="11"/>
        <v>-2.4292692569044587E-2</v>
      </c>
    </row>
    <row r="548" spans="1:3" ht="15.75" thickBot="1">
      <c r="A548" s="1326">
        <v>41316</v>
      </c>
      <c r="B548" s="1327">
        <v>123</v>
      </c>
      <c r="C548" s="64">
        <f t="shared" si="11"/>
        <v>8.1633106391608354E-3</v>
      </c>
    </row>
    <row r="549" spans="1:3" ht="15.75" thickBot="1">
      <c r="A549" s="1326">
        <v>41317</v>
      </c>
      <c r="B549" s="1327">
        <v>123</v>
      </c>
      <c r="C549" s="64">
        <f t="shared" si="11"/>
        <v>0</v>
      </c>
    </row>
    <row r="550" spans="1:3" ht="15.75" thickBot="1">
      <c r="A550" s="1326">
        <v>41318</v>
      </c>
      <c r="B550" s="1327">
        <v>124</v>
      </c>
      <c r="C550" s="64">
        <f t="shared" si="11"/>
        <v>8.0972102326193028E-3</v>
      </c>
    </row>
    <row r="551" spans="1:3" ht="15.75" thickBot="1">
      <c r="A551" s="1326">
        <v>41319</v>
      </c>
      <c r="B551" s="1327">
        <v>127</v>
      </c>
      <c r="C551" s="64">
        <f t="shared" si="11"/>
        <v>2.3905520853554386E-2</v>
      </c>
    </row>
    <row r="552" spans="1:3" ht="15.75" thickBot="1">
      <c r="A552" s="1326">
        <v>41320</v>
      </c>
      <c r="B552" s="1327">
        <v>128</v>
      </c>
      <c r="C552" s="64">
        <f t="shared" si="11"/>
        <v>7.8431774610258787E-3</v>
      </c>
    </row>
    <row r="553" spans="1:3" ht="15.75" thickBot="1">
      <c r="A553" s="1326">
        <v>41323</v>
      </c>
      <c r="B553" s="1327">
        <v>128</v>
      </c>
      <c r="C553" s="64">
        <f t="shared" si="11"/>
        <v>0</v>
      </c>
    </row>
    <row r="554" spans="1:3" ht="15.75" thickBot="1">
      <c r="A554" s="1326">
        <v>41324</v>
      </c>
      <c r="B554" s="1327">
        <v>128</v>
      </c>
      <c r="C554" s="64">
        <f t="shared" si="11"/>
        <v>0</v>
      </c>
    </row>
    <row r="555" spans="1:3" ht="15.75" thickBot="1">
      <c r="A555" s="1326">
        <v>41325</v>
      </c>
      <c r="B555" s="1327">
        <v>134</v>
      </c>
      <c r="C555" s="64">
        <f t="shared" si="11"/>
        <v>4.5809536031294201E-2</v>
      </c>
    </row>
    <row r="556" spans="1:3" ht="15.75" thickBot="1">
      <c r="A556" s="1326">
        <v>41326</v>
      </c>
      <c r="B556" s="1327">
        <v>138</v>
      </c>
      <c r="C556" s="64">
        <f t="shared" si="11"/>
        <v>2.9413885206293407E-2</v>
      </c>
    </row>
    <row r="557" spans="1:3" ht="15.75" thickBot="1">
      <c r="A557" s="1326">
        <v>41327</v>
      </c>
      <c r="B557" s="1327">
        <v>140</v>
      </c>
      <c r="C557" s="64">
        <f t="shared" si="11"/>
        <v>1.4388737452099671E-2</v>
      </c>
    </row>
    <row r="558" spans="1:3" ht="15.75" thickBot="1">
      <c r="A558" s="1326">
        <v>41330</v>
      </c>
      <c r="B558" s="1327">
        <v>143</v>
      </c>
      <c r="C558" s="64">
        <f t="shared" si="11"/>
        <v>2.1202207650602906E-2</v>
      </c>
    </row>
    <row r="559" spans="1:3" ht="15.75" thickBot="1">
      <c r="A559" s="1326">
        <v>41331</v>
      </c>
      <c r="B559" s="1327">
        <v>143</v>
      </c>
      <c r="C559" s="64">
        <f t="shared" si="11"/>
        <v>0</v>
      </c>
    </row>
    <row r="560" spans="1:3" ht="15.75" thickBot="1">
      <c r="A560" s="1326">
        <v>41332</v>
      </c>
      <c r="B560" s="1327">
        <v>141</v>
      </c>
      <c r="C560" s="64">
        <f t="shared" si="11"/>
        <v>-1.4084739881738972E-2</v>
      </c>
    </row>
    <row r="561" spans="1:3" ht="15.75" thickBot="1">
      <c r="A561" s="1326">
        <v>41333</v>
      </c>
      <c r="B561" s="1327">
        <v>143</v>
      </c>
      <c r="C561" s="64">
        <f t="shared" si="11"/>
        <v>1.4084739881739023E-2</v>
      </c>
    </row>
    <row r="562" spans="1:3" ht="15.75" thickBot="1">
      <c r="A562" s="1326">
        <v>41334</v>
      </c>
      <c r="B562" s="1327">
        <v>145</v>
      </c>
      <c r="C562" s="64">
        <f t="shared" si="11"/>
        <v>1.3889112160667093E-2</v>
      </c>
    </row>
    <row r="563" spans="1:3" ht="15.75" thickBot="1">
      <c r="A563" s="1326">
        <v>41337</v>
      </c>
      <c r="B563" s="1327">
        <v>141</v>
      </c>
      <c r="C563" s="64">
        <f t="shared" si="11"/>
        <v>-2.797385204240618E-2</v>
      </c>
    </row>
    <row r="564" spans="1:3" ht="15.75" thickBot="1">
      <c r="A564" s="1326">
        <v>41338</v>
      </c>
      <c r="B564" s="1327">
        <v>136</v>
      </c>
      <c r="C564" s="64">
        <f t="shared" si="11"/>
        <v>-3.6105004642116321E-2</v>
      </c>
    </row>
    <row r="565" spans="1:3" ht="15.75" thickBot="1">
      <c r="A565" s="1326">
        <v>41339</v>
      </c>
      <c r="B565" s="1327">
        <v>130</v>
      </c>
      <c r="C565" s="64">
        <f t="shared" si="11"/>
        <v>-4.5120435280469544E-2</v>
      </c>
    </row>
    <row r="566" spans="1:3" ht="15.75" thickBot="1">
      <c r="A566" s="1326">
        <v>41340</v>
      </c>
      <c r="B566" s="1327">
        <v>128</v>
      </c>
      <c r="C566" s="64">
        <f t="shared" si="11"/>
        <v>-1.5504186535965199E-2</v>
      </c>
    </row>
    <row r="567" spans="1:3" ht="15.75" thickBot="1">
      <c r="A567" s="1326">
        <v>41341</v>
      </c>
      <c r="B567" s="1327">
        <v>130</v>
      </c>
      <c r="C567" s="64">
        <f t="shared" si="11"/>
        <v>1.5504186535965254E-2</v>
      </c>
    </row>
    <row r="568" spans="1:3" ht="15.75" thickBot="1">
      <c r="A568" s="1326">
        <v>41344</v>
      </c>
      <c r="B568" s="1327">
        <v>133</v>
      </c>
      <c r="C568" s="64">
        <f t="shared" si="11"/>
        <v>2.2814677766171264E-2</v>
      </c>
    </row>
    <row r="569" spans="1:3" ht="15.75" thickBot="1">
      <c r="A569" s="1326">
        <v>41345</v>
      </c>
      <c r="B569" s="1327">
        <v>134</v>
      </c>
      <c r="C569" s="64">
        <f t="shared" si="11"/>
        <v>7.4906717291576587E-3</v>
      </c>
    </row>
    <row r="570" spans="1:3" ht="15.75" thickBot="1">
      <c r="A570" s="1326">
        <v>41346</v>
      </c>
      <c r="B570" s="1327">
        <v>137</v>
      </c>
      <c r="C570" s="64">
        <f t="shared" si="11"/>
        <v>2.2141125877213501E-2</v>
      </c>
    </row>
    <row r="571" spans="1:3" ht="15.75" thickBot="1">
      <c r="A571" s="1326">
        <v>41347</v>
      </c>
      <c r="B571" s="1327">
        <v>137</v>
      </c>
      <c r="C571" s="64">
        <f t="shared" si="11"/>
        <v>0</v>
      </c>
    </row>
    <row r="572" spans="1:3" ht="15.75" thickBot="1">
      <c r="A572" s="1326">
        <v>41348</v>
      </c>
      <c r="B572" s="1327">
        <v>146</v>
      </c>
      <c r="C572" s="64">
        <f t="shared" si="11"/>
        <v>6.3625695880211552E-2</v>
      </c>
    </row>
    <row r="573" spans="1:3" ht="15.75" thickBot="1">
      <c r="A573" s="1326">
        <v>41351</v>
      </c>
      <c r="B573" s="1327">
        <v>149</v>
      </c>
      <c r="C573" s="64">
        <f t="shared" si="11"/>
        <v>2.0339684237122783E-2</v>
      </c>
    </row>
    <row r="574" spans="1:3" ht="15.75" thickBot="1">
      <c r="A574" s="1326">
        <v>41352</v>
      </c>
      <c r="B574" s="1327">
        <v>153</v>
      </c>
      <c r="C574" s="64">
        <f t="shared" si="11"/>
        <v>2.6491615446976285E-2</v>
      </c>
    </row>
    <row r="575" spans="1:3" ht="15.75" thickBot="1">
      <c r="A575" s="1326">
        <v>41353</v>
      </c>
      <c r="B575" s="1327">
        <v>151</v>
      </c>
      <c r="C575" s="64">
        <f t="shared" si="11"/>
        <v>-1.3158084577511088E-2</v>
      </c>
    </row>
    <row r="576" spans="1:3" ht="15.75" thickBot="1">
      <c r="A576" s="1326">
        <v>41354</v>
      </c>
      <c r="B576" s="1327">
        <v>152</v>
      </c>
      <c r="C576" s="64">
        <f t="shared" si="11"/>
        <v>6.6006840313520927E-3</v>
      </c>
    </row>
    <row r="577" spans="1:3" ht="15.75" thickBot="1">
      <c r="A577" s="1326">
        <v>41355</v>
      </c>
      <c r="B577" s="1327">
        <v>155</v>
      </c>
      <c r="C577" s="64">
        <f t="shared" si="11"/>
        <v>1.9544596072970131E-2</v>
      </c>
    </row>
    <row r="578" spans="1:3" ht="15.75" thickBot="1">
      <c r="A578" s="1326">
        <v>41358</v>
      </c>
      <c r="B578" s="1327">
        <v>154</v>
      </c>
      <c r="C578" s="64">
        <f t="shared" si="11"/>
        <v>-6.4725145056174788E-3</v>
      </c>
    </row>
    <row r="579" spans="1:3" ht="15.75" thickBot="1">
      <c r="A579" s="1326">
        <v>41359</v>
      </c>
      <c r="B579" s="1327">
        <v>152</v>
      </c>
      <c r="C579" s="64">
        <f t="shared" si="11"/>
        <v>-1.3072081567352775E-2</v>
      </c>
    </row>
    <row r="580" spans="1:3" ht="15.75" thickBot="1">
      <c r="A580" s="1326">
        <v>41360</v>
      </c>
      <c r="B580" s="1327">
        <v>152</v>
      </c>
      <c r="C580" s="64">
        <f t="shared" ref="C580:C643" si="12">+LN(B580/B579)</f>
        <v>0</v>
      </c>
    </row>
    <row r="581" spans="1:3" ht="15.75" thickBot="1">
      <c r="A581" s="1326">
        <v>41361</v>
      </c>
      <c r="B581" s="1327">
        <v>148</v>
      </c>
      <c r="C581" s="64">
        <f t="shared" si="12"/>
        <v>-2.6668247082161294E-2</v>
      </c>
    </row>
    <row r="582" spans="1:3" ht="15.75" thickBot="1">
      <c r="A582" s="1326">
        <v>41365</v>
      </c>
      <c r="B582" s="1327">
        <v>149</v>
      </c>
      <c r="C582" s="64">
        <f t="shared" si="12"/>
        <v>6.7340321813441194E-3</v>
      </c>
    </row>
    <row r="583" spans="1:3" ht="15.75" thickBot="1">
      <c r="A583" s="1326">
        <v>41366</v>
      </c>
      <c r="B583" s="1327">
        <v>143</v>
      </c>
      <c r="C583" s="64">
        <f t="shared" si="12"/>
        <v>-4.1101675685551918E-2</v>
      </c>
    </row>
    <row r="584" spans="1:3" ht="15.75" thickBot="1">
      <c r="A584" s="1326">
        <v>41367</v>
      </c>
      <c r="B584" s="1327">
        <v>140</v>
      </c>
      <c r="C584" s="64">
        <f t="shared" si="12"/>
        <v>-2.1202207650602937E-2</v>
      </c>
    </row>
    <row r="585" spans="1:3" ht="15.75" thickBot="1">
      <c r="A585" s="1326">
        <v>41368</v>
      </c>
      <c r="B585" s="1327">
        <v>135</v>
      </c>
      <c r="C585" s="64">
        <f t="shared" si="12"/>
        <v>-3.6367644170874833E-2</v>
      </c>
    </row>
    <row r="586" spans="1:3" ht="15.75" thickBot="1">
      <c r="A586" s="1326">
        <v>41369</v>
      </c>
      <c r="B586" s="1327">
        <v>135</v>
      </c>
      <c r="C586" s="64">
        <f t="shared" si="12"/>
        <v>0</v>
      </c>
    </row>
    <row r="587" spans="1:3" ht="15.75" thickBot="1">
      <c r="A587" s="1326">
        <v>41372</v>
      </c>
      <c r="B587" s="1327">
        <v>129</v>
      </c>
      <c r="C587" s="64">
        <f t="shared" si="12"/>
        <v>-4.5462374076757288E-2</v>
      </c>
    </row>
    <row r="588" spans="1:3" ht="15.75" thickBot="1">
      <c r="A588" s="1326">
        <v>41373</v>
      </c>
      <c r="B588" s="1327">
        <v>127</v>
      </c>
      <c r="C588" s="64">
        <f t="shared" si="12"/>
        <v>-1.562531790308087E-2</v>
      </c>
    </row>
    <row r="589" spans="1:3" ht="15.75" thickBot="1">
      <c r="A589" s="1326">
        <v>41374</v>
      </c>
      <c r="B589" s="1327">
        <v>125</v>
      </c>
      <c r="C589" s="64">
        <f t="shared" si="12"/>
        <v>-1.5873349156290122E-2</v>
      </c>
    </row>
    <row r="590" spans="1:3" ht="15.75" thickBot="1">
      <c r="A590" s="1326">
        <v>41375</v>
      </c>
      <c r="B590" s="1327">
        <v>126</v>
      </c>
      <c r="C590" s="64">
        <f t="shared" si="12"/>
        <v>7.9681696491768813E-3</v>
      </c>
    </row>
    <row r="591" spans="1:3" ht="15.75" thickBot="1">
      <c r="A591" s="1326">
        <v>41376</v>
      </c>
      <c r="B591" s="1327">
        <v>128</v>
      </c>
      <c r="C591" s="64">
        <f t="shared" si="12"/>
        <v>1.5748356968139112E-2</v>
      </c>
    </row>
    <row r="592" spans="1:3" ht="15.75" thickBot="1">
      <c r="A592" s="1326">
        <v>41379</v>
      </c>
      <c r="B592" s="1327">
        <v>132</v>
      </c>
      <c r="C592" s="64">
        <f t="shared" si="12"/>
        <v>3.0771658666753687E-2</v>
      </c>
    </row>
    <row r="593" spans="1:3" ht="15.75" thickBot="1">
      <c r="A593" s="1326">
        <v>41380</v>
      </c>
      <c r="B593" s="1327">
        <v>128</v>
      </c>
      <c r="C593" s="64">
        <f t="shared" si="12"/>
        <v>-3.077165866675366E-2</v>
      </c>
    </row>
    <row r="594" spans="1:3" ht="15.75" thickBot="1">
      <c r="A594" s="1326">
        <v>41381</v>
      </c>
      <c r="B594" s="1327">
        <v>128</v>
      </c>
      <c r="C594" s="64">
        <f t="shared" si="12"/>
        <v>0</v>
      </c>
    </row>
    <row r="595" spans="1:3" ht="15.75" thickBot="1">
      <c r="A595" s="1326">
        <v>41382</v>
      </c>
      <c r="B595" s="1327">
        <v>132</v>
      </c>
      <c r="C595" s="64">
        <f t="shared" si="12"/>
        <v>3.0771658666753687E-2</v>
      </c>
    </row>
    <row r="596" spans="1:3" ht="15.75" thickBot="1">
      <c r="A596" s="1326">
        <v>41383</v>
      </c>
      <c r="B596" s="1327">
        <v>133</v>
      </c>
      <c r="C596" s="64">
        <f t="shared" si="12"/>
        <v>7.5472056353829038E-3</v>
      </c>
    </row>
    <row r="597" spans="1:3" ht="15.75" thickBot="1">
      <c r="A597" s="1326">
        <v>41386</v>
      </c>
      <c r="B597" s="1327">
        <v>136</v>
      </c>
      <c r="C597" s="64">
        <f t="shared" si="12"/>
        <v>2.2305757514298186E-2</v>
      </c>
    </row>
    <row r="598" spans="1:3" ht="15.75" thickBot="1">
      <c r="A598" s="1326">
        <v>41387</v>
      </c>
      <c r="B598" s="1327">
        <v>134</v>
      </c>
      <c r="C598" s="64">
        <f t="shared" si="12"/>
        <v>-1.4815085785140587E-2</v>
      </c>
    </row>
    <row r="599" spans="1:3" ht="15.75" thickBot="1">
      <c r="A599" s="1326">
        <v>41388</v>
      </c>
      <c r="B599" s="1327">
        <v>136</v>
      </c>
      <c r="C599" s="64">
        <f t="shared" si="12"/>
        <v>1.4815085785140682E-2</v>
      </c>
    </row>
    <row r="600" spans="1:3" ht="15.75" thickBot="1">
      <c r="A600" s="1326">
        <v>41389</v>
      </c>
      <c r="B600" s="1327">
        <v>136</v>
      </c>
      <c r="C600" s="64">
        <f t="shared" si="12"/>
        <v>0</v>
      </c>
    </row>
    <row r="601" spans="1:3" ht="15.75" thickBot="1">
      <c r="A601" s="1326">
        <v>41390</v>
      </c>
      <c r="B601" s="1327">
        <v>138</v>
      </c>
      <c r="C601" s="64">
        <f t="shared" si="12"/>
        <v>1.4598799421152631E-2</v>
      </c>
    </row>
    <row r="602" spans="1:3" ht="15.75" thickBot="1">
      <c r="A602" s="1326">
        <v>41393</v>
      </c>
      <c r="B602" s="1327">
        <v>133</v>
      </c>
      <c r="C602" s="64">
        <f t="shared" si="12"/>
        <v>-3.6904556935450979E-2</v>
      </c>
    </row>
    <row r="603" spans="1:3" ht="15.75" thickBot="1">
      <c r="A603" s="1326">
        <v>41394</v>
      </c>
      <c r="B603" s="1327">
        <v>132</v>
      </c>
      <c r="C603" s="64">
        <f t="shared" si="12"/>
        <v>-7.5472056353829663E-3</v>
      </c>
    </row>
    <row r="604" spans="1:3" ht="15.75" thickBot="1">
      <c r="A604" s="1326">
        <v>41395</v>
      </c>
      <c r="B604" s="1327">
        <v>128</v>
      </c>
      <c r="C604" s="64">
        <f t="shared" si="12"/>
        <v>-3.077165866675366E-2</v>
      </c>
    </row>
    <row r="605" spans="1:3" ht="15.75" thickBot="1">
      <c r="A605" s="1326">
        <v>41396</v>
      </c>
      <c r="B605" s="1327">
        <v>123</v>
      </c>
      <c r="C605" s="64">
        <f t="shared" si="12"/>
        <v>-3.9845908547199674E-2</v>
      </c>
    </row>
    <row r="606" spans="1:3" ht="15.75" thickBot="1">
      <c r="A606" s="1326">
        <v>41397</v>
      </c>
      <c r="B606" s="1327">
        <v>122</v>
      </c>
      <c r="C606" s="64">
        <f t="shared" si="12"/>
        <v>-8.1633106391609811E-3</v>
      </c>
    </row>
    <row r="607" spans="1:3" ht="15.75" thickBot="1">
      <c r="A607" s="1326">
        <v>41400</v>
      </c>
      <c r="B607" s="1327">
        <v>124</v>
      </c>
      <c r="C607" s="64">
        <f t="shared" si="12"/>
        <v>1.6260520871780326E-2</v>
      </c>
    </row>
    <row r="608" spans="1:3" ht="15.75" thickBot="1">
      <c r="A608" s="1326">
        <v>41401</v>
      </c>
      <c r="B608" s="1327">
        <v>123</v>
      </c>
      <c r="C608" s="64">
        <f t="shared" si="12"/>
        <v>-8.0972102326193618E-3</v>
      </c>
    </row>
    <row r="609" spans="1:3" ht="15.75" thickBot="1">
      <c r="A609" s="1326">
        <v>41402</v>
      </c>
      <c r="B609" s="1327">
        <v>126</v>
      </c>
      <c r="C609" s="64">
        <f t="shared" si="12"/>
        <v>2.4097551579060524E-2</v>
      </c>
    </row>
    <row r="610" spans="1:3" ht="15.75" thickBot="1">
      <c r="A610" s="1326">
        <v>41403</v>
      </c>
      <c r="B610" s="1327">
        <v>122</v>
      </c>
      <c r="C610" s="64">
        <f t="shared" si="12"/>
        <v>-3.2260862218221435E-2</v>
      </c>
    </row>
    <row r="611" spans="1:3" ht="15.75" thickBot="1">
      <c r="A611" s="1326">
        <v>41404</v>
      </c>
      <c r="B611" s="1327">
        <v>120</v>
      </c>
      <c r="C611" s="64">
        <f t="shared" si="12"/>
        <v>-1.6529301951210582E-2</v>
      </c>
    </row>
    <row r="612" spans="1:3" ht="15.75" thickBot="1">
      <c r="A612" s="1326">
        <v>41407</v>
      </c>
      <c r="B612" s="1327">
        <v>126</v>
      </c>
      <c r="C612" s="64">
        <f t="shared" si="12"/>
        <v>4.8790164169432049E-2</v>
      </c>
    </row>
    <row r="613" spans="1:3" ht="15.75" thickBot="1">
      <c r="A613" s="1326">
        <v>41408</v>
      </c>
      <c r="B613" s="1327">
        <v>123</v>
      </c>
      <c r="C613" s="64">
        <f t="shared" si="12"/>
        <v>-2.409755157906053E-2</v>
      </c>
    </row>
    <row r="614" spans="1:3" ht="15.75" thickBot="1">
      <c r="A614" s="1326">
        <v>41409</v>
      </c>
      <c r="B614" s="1327">
        <v>130</v>
      </c>
      <c r="C614" s="64">
        <f t="shared" si="12"/>
        <v>5.5350095083164901E-2</v>
      </c>
    </row>
    <row r="615" spans="1:3" ht="15.75" thickBot="1">
      <c r="A615" s="1326">
        <v>41410</v>
      </c>
      <c r="B615" s="1327">
        <v>137</v>
      </c>
      <c r="C615" s="64">
        <f t="shared" si="12"/>
        <v>5.2446475372542524E-2</v>
      </c>
    </row>
    <row r="616" spans="1:3" ht="15.75" thickBot="1">
      <c r="A616" s="1326">
        <v>41411</v>
      </c>
      <c r="B616" s="1327">
        <v>134</v>
      </c>
      <c r="C616" s="64">
        <f t="shared" si="12"/>
        <v>-2.2141125877213518E-2</v>
      </c>
    </row>
    <row r="617" spans="1:3" ht="15.75" thickBot="1">
      <c r="A617" s="1326">
        <v>41414</v>
      </c>
      <c r="B617" s="1327">
        <v>136</v>
      </c>
      <c r="C617" s="64">
        <f t="shared" si="12"/>
        <v>1.4815085785140682E-2</v>
      </c>
    </row>
    <row r="618" spans="1:3" ht="15.75" thickBot="1">
      <c r="A618" s="1326">
        <v>41415</v>
      </c>
      <c r="B618" s="1327">
        <v>140</v>
      </c>
      <c r="C618" s="64">
        <f t="shared" si="12"/>
        <v>2.8987536873252187E-2</v>
      </c>
    </row>
    <row r="619" spans="1:3" ht="15.75" thickBot="1">
      <c r="A619" s="1326">
        <v>41416</v>
      </c>
      <c r="B619" s="1327">
        <v>137</v>
      </c>
      <c r="C619" s="64">
        <f t="shared" si="12"/>
        <v>-2.1661496781179419E-2</v>
      </c>
    </row>
    <row r="620" spans="1:3" ht="15.75" thickBot="1">
      <c r="A620" s="1326">
        <v>41417</v>
      </c>
      <c r="B620" s="1327">
        <v>147</v>
      </c>
      <c r="C620" s="64">
        <f t="shared" si="12"/>
        <v>7.0451660950611297E-2</v>
      </c>
    </row>
    <row r="621" spans="1:3" ht="15.75" thickBot="1">
      <c r="A621" s="1326">
        <v>41418</v>
      </c>
      <c r="B621" s="1327">
        <v>149</v>
      </c>
      <c r="C621" s="64">
        <f t="shared" si="12"/>
        <v>1.3513719166722855E-2</v>
      </c>
    </row>
    <row r="622" spans="1:3" ht="15.75" thickBot="1">
      <c r="A622" s="1326">
        <v>41421</v>
      </c>
      <c r="B622" s="1327">
        <v>149</v>
      </c>
      <c r="C622" s="64">
        <f t="shared" si="12"/>
        <v>0</v>
      </c>
    </row>
    <row r="623" spans="1:3" ht="15.75" thickBot="1">
      <c r="A623" s="1326">
        <v>41422</v>
      </c>
      <c r="B623" s="1327">
        <v>152</v>
      </c>
      <c r="C623" s="64">
        <f t="shared" si="12"/>
        <v>1.9934214900817329E-2</v>
      </c>
    </row>
    <row r="624" spans="1:3" ht="15.75" thickBot="1">
      <c r="A624" s="1326">
        <v>41423</v>
      </c>
      <c r="B624" s="1327">
        <v>169</v>
      </c>
      <c r="C624" s="64">
        <f t="shared" si="12"/>
        <v>0.10601819407679715</v>
      </c>
    </row>
    <row r="625" spans="1:3" ht="15.75" thickBot="1">
      <c r="A625" s="1326">
        <v>41424</v>
      </c>
      <c r="B625" s="1327">
        <v>165</v>
      </c>
      <c r="C625" s="64">
        <f t="shared" si="12"/>
        <v>-2.3953241022492872E-2</v>
      </c>
    </row>
    <row r="626" spans="1:3" ht="15.75" thickBot="1">
      <c r="A626" s="1326">
        <v>41425</v>
      </c>
      <c r="B626" s="1327">
        <v>169</v>
      </c>
      <c r="C626" s="64">
        <f t="shared" si="12"/>
        <v>2.3953241022492796E-2</v>
      </c>
    </row>
    <row r="627" spans="1:3" ht="15.75" thickBot="1">
      <c r="A627" s="1326">
        <v>41428</v>
      </c>
      <c r="B627" s="1327">
        <v>172</v>
      </c>
      <c r="C627" s="64">
        <f t="shared" si="12"/>
        <v>1.759576189037966E-2</v>
      </c>
    </row>
    <row r="628" spans="1:3" ht="15.75" thickBot="1">
      <c r="A628" s="1326">
        <v>41429</v>
      </c>
      <c r="B628" s="1327">
        <v>167</v>
      </c>
      <c r="C628" s="64">
        <f t="shared" si="12"/>
        <v>-2.950066439669799E-2</v>
      </c>
    </row>
    <row r="629" spans="1:3" ht="15.75" thickBot="1">
      <c r="A629" s="1326">
        <v>41430</v>
      </c>
      <c r="B629" s="1327">
        <v>172</v>
      </c>
      <c r="C629" s="64">
        <f t="shared" si="12"/>
        <v>2.9500664396697841E-2</v>
      </c>
    </row>
    <row r="630" spans="1:3" ht="15.75" thickBot="1">
      <c r="A630" s="1326">
        <v>41431</v>
      </c>
      <c r="B630" s="1327">
        <v>176</v>
      </c>
      <c r="C630" s="64">
        <f t="shared" si="12"/>
        <v>2.2989518224698781E-2</v>
      </c>
    </row>
    <row r="631" spans="1:3" ht="15.75" thickBot="1">
      <c r="A631" s="1326">
        <v>41432</v>
      </c>
      <c r="B631" s="1327">
        <v>166</v>
      </c>
      <c r="C631" s="64">
        <f t="shared" si="12"/>
        <v>-5.8496206681608494E-2</v>
      </c>
    </row>
    <row r="632" spans="1:3" ht="15.75" thickBot="1">
      <c r="A632" s="1326">
        <v>41435</v>
      </c>
      <c r="B632" s="1327">
        <v>172</v>
      </c>
      <c r="C632" s="64">
        <f t="shared" si="12"/>
        <v>3.5506688456909817E-2</v>
      </c>
    </row>
    <row r="633" spans="1:3" ht="15.75" thickBot="1">
      <c r="A633" s="1326">
        <v>41436</v>
      </c>
      <c r="B633" s="1327">
        <v>189</v>
      </c>
      <c r="C633" s="64">
        <f t="shared" si="12"/>
        <v>9.4252538246189288E-2</v>
      </c>
    </row>
    <row r="634" spans="1:3" ht="15.75" thickBot="1">
      <c r="A634" s="1326">
        <v>41437</v>
      </c>
      <c r="B634" s="1327">
        <v>176</v>
      </c>
      <c r="C634" s="64">
        <f t="shared" si="12"/>
        <v>-7.1263020021490653E-2</v>
      </c>
    </row>
    <row r="635" spans="1:3" ht="15.75" thickBot="1">
      <c r="A635" s="1326">
        <v>41438</v>
      </c>
      <c r="B635" s="1327">
        <v>162</v>
      </c>
      <c r="C635" s="64">
        <f t="shared" si="12"/>
        <v>-8.2887659805767747E-2</v>
      </c>
    </row>
    <row r="636" spans="1:3" ht="15.75" thickBot="1">
      <c r="A636" s="1326">
        <v>41439</v>
      </c>
      <c r="B636" s="1327">
        <v>167</v>
      </c>
      <c r="C636" s="64">
        <f t="shared" si="12"/>
        <v>3.0397477184370948E-2</v>
      </c>
    </row>
    <row r="637" spans="1:3" ht="15.75" thickBot="1">
      <c r="A637" s="1326">
        <v>41442</v>
      </c>
      <c r="B637" s="1327">
        <v>164</v>
      </c>
      <c r="C637" s="64">
        <f t="shared" si="12"/>
        <v>-1.8127384592556715E-2</v>
      </c>
    </row>
    <row r="638" spans="1:3" ht="15.75" thickBot="1">
      <c r="A638" s="1326">
        <v>41443</v>
      </c>
      <c r="B638" s="1327">
        <v>172</v>
      </c>
      <c r="C638" s="64">
        <f t="shared" si="12"/>
        <v>4.7628048989254664E-2</v>
      </c>
    </row>
    <row r="639" spans="1:3" ht="15.75" thickBot="1">
      <c r="A639" s="1326">
        <v>41444</v>
      </c>
      <c r="B639" s="1327">
        <v>180</v>
      </c>
      <c r="C639" s="64">
        <f t="shared" si="12"/>
        <v>4.5462374076757413E-2</v>
      </c>
    </row>
    <row r="640" spans="1:3" ht="15.75" thickBot="1">
      <c r="A640" s="1326">
        <v>41445</v>
      </c>
      <c r="B640" s="1327">
        <v>195</v>
      </c>
      <c r="C640" s="64">
        <f t="shared" si="12"/>
        <v>8.0042707673536356E-2</v>
      </c>
    </row>
    <row r="641" spans="1:3" ht="15.75" thickBot="1">
      <c r="A641" s="1326">
        <v>41446</v>
      </c>
      <c r="B641" s="1327">
        <v>197</v>
      </c>
      <c r="C641" s="64">
        <f t="shared" si="12"/>
        <v>1.0204170174241668E-2</v>
      </c>
    </row>
    <row r="642" spans="1:3" ht="15.75" thickBot="1">
      <c r="A642" s="1326">
        <v>41449</v>
      </c>
      <c r="B642" s="1327">
        <v>209</v>
      </c>
      <c r="C642" s="64">
        <f t="shared" si="12"/>
        <v>5.9130523226822461E-2</v>
      </c>
    </row>
    <row r="643" spans="1:3" ht="15.75" thickBot="1">
      <c r="A643" s="1326">
        <v>41450</v>
      </c>
      <c r="B643" s="1327">
        <v>206</v>
      </c>
      <c r="C643" s="64">
        <f t="shared" si="12"/>
        <v>-1.4458083175229888E-2</v>
      </c>
    </row>
    <row r="644" spans="1:3" ht="15.75" thickBot="1">
      <c r="A644" s="1326">
        <v>41451</v>
      </c>
      <c r="B644" s="1327">
        <v>204</v>
      </c>
      <c r="C644" s="64">
        <f t="shared" ref="C644:C707" si="13">+LN(B644/B643)</f>
        <v>-9.7561749453646852E-3</v>
      </c>
    </row>
    <row r="645" spans="1:3" ht="15.75" thickBot="1">
      <c r="A645" s="1326">
        <v>41452</v>
      </c>
      <c r="B645" s="1327">
        <v>201</v>
      </c>
      <c r="C645" s="64">
        <f t="shared" si="13"/>
        <v>-1.4815085785140587E-2</v>
      </c>
    </row>
    <row r="646" spans="1:3" ht="15.75" thickBot="1">
      <c r="A646" s="1326">
        <v>41453</v>
      </c>
      <c r="B646" s="1327">
        <v>195</v>
      </c>
      <c r="C646" s="64">
        <f t="shared" si="13"/>
        <v>-3.0305349495328922E-2</v>
      </c>
    </row>
    <row r="647" spans="1:3" ht="15.75" thickBot="1">
      <c r="A647" s="1326">
        <v>41456</v>
      </c>
      <c r="B647" s="1327">
        <v>185</v>
      </c>
      <c r="C647" s="64">
        <f t="shared" si="13"/>
        <v>-5.2643733485422027E-2</v>
      </c>
    </row>
    <row r="648" spans="1:3" ht="15.75" thickBot="1">
      <c r="A648" s="1326">
        <v>41457</v>
      </c>
      <c r="B648" s="1327">
        <v>180</v>
      </c>
      <c r="C648" s="64">
        <f t="shared" si="13"/>
        <v>-2.7398974188114388E-2</v>
      </c>
    </row>
    <row r="649" spans="1:3" ht="15.75" thickBot="1">
      <c r="A649" s="1326">
        <v>41458</v>
      </c>
      <c r="B649" s="1327">
        <v>185</v>
      </c>
      <c r="C649" s="64">
        <f t="shared" si="13"/>
        <v>2.7398974188114347E-2</v>
      </c>
    </row>
    <row r="650" spans="1:3" ht="15.75" thickBot="1">
      <c r="A650" s="1326">
        <v>41459</v>
      </c>
      <c r="B650" s="1327">
        <v>185</v>
      </c>
      <c r="C650" s="64">
        <f t="shared" si="13"/>
        <v>0</v>
      </c>
    </row>
    <row r="651" spans="1:3" ht="15.75" thickBot="1">
      <c r="A651" s="1326">
        <v>41460</v>
      </c>
      <c r="B651" s="1327">
        <v>182</v>
      </c>
      <c r="C651" s="64">
        <f t="shared" si="13"/>
        <v>-1.6349138001529411E-2</v>
      </c>
    </row>
    <row r="652" spans="1:3" ht="15.75" thickBot="1">
      <c r="A652" s="1326">
        <v>41463</v>
      </c>
      <c r="B652" s="1327">
        <v>191</v>
      </c>
      <c r="C652" s="64">
        <f t="shared" si="13"/>
        <v>4.8266740969834569E-2</v>
      </c>
    </row>
    <row r="653" spans="1:3" ht="15.75" thickBot="1">
      <c r="A653" s="1326">
        <v>41464</v>
      </c>
      <c r="B653" s="1327">
        <v>191</v>
      </c>
      <c r="C653" s="64">
        <f t="shared" si="13"/>
        <v>0</v>
      </c>
    </row>
    <row r="654" spans="1:3" ht="15.75" thickBot="1">
      <c r="A654" s="1326">
        <v>41465</v>
      </c>
      <c r="B654" s="1327">
        <v>184</v>
      </c>
      <c r="C654" s="64">
        <f t="shared" si="13"/>
        <v>-3.7337670437644237E-2</v>
      </c>
    </row>
    <row r="655" spans="1:3" ht="15.75" thickBot="1">
      <c r="A655" s="1326">
        <v>41466</v>
      </c>
      <c r="B655" s="1327">
        <v>187</v>
      </c>
      <c r="C655" s="64">
        <f t="shared" si="13"/>
        <v>1.6172859245600968E-2</v>
      </c>
    </row>
    <row r="656" spans="1:3" ht="15.75" thickBot="1">
      <c r="A656" s="1326">
        <v>41467</v>
      </c>
      <c r="B656" s="1327">
        <v>179</v>
      </c>
      <c r="C656" s="64">
        <f t="shared" si="13"/>
        <v>-4.3722811013831575E-2</v>
      </c>
    </row>
    <row r="657" spans="1:3" ht="15.75" thickBot="1">
      <c r="A657" s="1326">
        <v>41470</v>
      </c>
      <c r="B657" s="1327">
        <v>195</v>
      </c>
      <c r="C657" s="64">
        <f t="shared" si="13"/>
        <v>8.5613752722991723E-2</v>
      </c>
    </row>
    <row r="658" spans="1:3" ht="15.75" thickBot="1">
      <c r="A658" s="1326">
        <v>41471</v>
      </c>
      <c r="B658" s="1327">
        <v>160</v>
      </c>
      <c r="C658" s="64">
        <f t="shared" si="13"/>
        <v>-0.19782574332991992</v>
      </c>
    </row>
    <row r="659" spans="1:3" ht="15.75" thickBot="1">
      <c r="A659" s="1326">
        <v>41472</v>
      </c>
      <c r="B659" s="1327">
        <v>153</v>
      </c>
      <c r="C659" s="64">
        <f t="shared" si="13"/>
        <v>-4.4735893841391414E-2</v>
      </c>
    </row>
    <row r="660" spans="1:3" ht="15.75" thickBot="1">
      <c r="A660" s="1326">
        <v>41473</v>
      </c>
      <c r="B660" s="1327">
        <v>146</v>
      </c>
      <c r="C660" s="64">
        <f t="shared" si="13"/>
        <v>-4.6831299684098972E-2</v>
      </c>
    </row>
    <row r="661" spans="1:3" ht="15.75" thickBot="1">
      <c r="A661" s="1326">
        <v>41474</v>
      </c>
      <c r="B661" s="1327">
        <v>149</v>
      </c>
      <c r="C661" s="64">
        <f t="shared" si="13"/>
        <v>2.0339684237122783E-2</v>
      </c>
    </row>
    <row r="662" spans="1:3" ht="15.75" thickBot="1">
      <c r="A662" s="1326">
        <v>41477</v>
      </c>
      <c r="B662" s="1327">
        <v>150</v>
      </c>
      <c r="C662" s="64">
        <f t="shared" si="13"/>
        <v>6.6889881507967101E-3</v>
      </c>
    </row>
    <row r="663" spans="1:3" ht="15.75" thickBot="1">
      <c r="A663" s="1326">
        <v>41478</v>
      </c>
      <c r="B663" s="1327">
        <v>150</v>
      </c>
      <c r="C663" s="64">
        <f t="shared" si="13"/>
        <v>0</v>
      </c>
    </row>
    <row r="664" spans="1:3" ht="15.75" thickBot="1">
      <c r="A664" s="1326">
        <v>41479</v>
      </c>
      <c r="B664" s="1327">
        <v>156</v>
      </c>
      <c r="C664" s="64">
        <f t="shared" si="13"/>
        <v>3.9220713153281329E-2</v>
      </c>
    </row>
    <row r="665" spans="1:3" ht="15.75" thickBot="1">
      <c r="A665" s="1326">
        <v>41480</v>
      </c>
      <c r="B665" s="1327">
        <v>161</v>
      </c>
      <c r="C665" s="64">
        <f t="shared" si="13"/>
        <v>3.1548357734926057E-2</v>
      </c>
    </row>
    <row r="666" spans="1:3" ht="15.75" thickBot="1">
      <c r="A666" s="1326">
        <v>41481</v>
      </c>
      <c r="B666" s="1327">
        <v>170</v>
      </c>
      <c r="C666" s="64">
        <f t="shared" si="13"/>
        <v>5.4394072065798764E-2</v>
      </c>
    </row>
    <row r="667" spans="1:3" ht="15.75" thickBot="1">
      <c r="A667" s="1326">
        <v>41484</v>
      </c>
      <c r="B667" s="1327">
        <v>175</v>
      </c>
      <c r="C667" s="64">
        <f t="shared" si="13"/>
        <v>2.8987536873252187E-2</v>
      </c>
    </row>
    <row r="668" spans="1:3" ht="15.75" thickBot="1">
      <c r="A668" s="1326">
        <v>41485</v>
      </c>
      <c r="B668" s="1327">
        <v>179</v>
      </c>
      <c r="C668" s="64">
        <f t="shared" si="13"/>
        <v>2.2599831917240992E-2</v>
      </c>
    </row>
    <row r="669" spans="1:3" ht="15.75" thickBot="1">
      <c r="A669" s="1326">
        <v>41486</v>
      </c>
      <c r="B669" s="1327">
        <v>183</v>
      </c>
      <c r="C669" s="64">
        <f t="shared" si="13"/>
        <v>2.2100347000665922E-2</v>
      </c>
    </row>
    <row r="670" spans="1:3" ht="15.75" thickBot="1">
      <c r="A670" s="1326">
        <v>41487</v>
      </c>
      <c r="B670" s="1327">
        <v>183</v>
      </c>
      <c r="C670" s="64">
        <f t="shared" si="13"/>
        <v>0</v>
      </c>
    </row>
    <row r="671" spans="1:3" ht="15.75" thickBot="1">
      <c r="A671" s="1326">
        <v>41488</v>
      </c>
      <c r="B671" s="1327">
        <v>185</v>
      </c>
      <c r="C671" s="64">
        <f t="shared" si="13"/>
        <v>1.0869672236903891E-2</v>
      </c>
    </row>
    <row r="672" spans="1:3" ht="15.75" thickBot="1">
      <c r="A672" s="1326">
        <v>41491</v>
      </c>
      <c r="B672" s="1327">
        <v>180</v>
      </c>
      <c r="C672" s="64">
        <f t="shared" si="13"/>
        <v>-2.7398974188114388E-2</v>
      </c>
    </row>
    <row r="673" spans="1:3" ht="15.75" thickBot="1">
      <c r="A673" s="1326">
        <v>41492</v>
      </c>
      <c r="B673" s="1327">
        <v>174</v>
      </c>
      <c r="C673" s="64">
        <f t="shared" si="13"/>
        <v>-3.3901551675681339E-2</v>
      </c>
    </row>
    <row r="674" spans="1:3" ht="15.75" thickBot="1">
      <c r="A674" s="1326">
        <v>41493</v>
      </c>
      <c r="B674" s="1327">
        <v>178</v>
      </c>
      <c r="C674" s="64">
        <f t="shared" si="13"/>
        <v>2.2728251077556091E-2</v>
      </c>
    </row>
    <row r="675" spans="1:3" ht="15.75" thickBot="1">
      <c r="A675" s="1326">
        <v>41494</v>
      </c>
      <c r="B675" s="1327">
        <v>178</v>
      </c>
      <c r="C675" s="64">
        <f t="shared" si="13"/>
        <v>0</v>
      </c>
    </row>
    <row r="676" spans="1:3" ht="15.75" thickBot="1">
      <c r="A676" s="1326">
        <v>41495</v>
      </c>
      <c r="B676" s="1327">
        <v>178</v>
      </c>
      <c r="C676" s="64">
        <f t="shared" si="13"/>
        <v>0</v>
      </c>
    </row>
    <row r="677" spans="1:3" ht="15.75" thickBot="1">
      <c r="A677" s="1326">
        <v>41498</v>
      </c>
      <c r="B677" s="1327">
        <v>175</v>
      </c>
      <c r="C677" s="64">
        <f t="shared" si="13"/>
        <v>-1.6997576368571136E-2</v>
      </c>
    </row>
    <row r="678" spans="1:3" ht="15.75" thickBot="1">
      <c r="A678" s="1326">
        <v>41499</v>
      </c>
      <c r="B678" s="1327">
        <v>172</v>
      </c>
      <c r="C678" s="64">
        <f t="shared" si="13"/>
        <v>-1.7291497110060994E-2</v>
      </c>
    </row>
    <row r="679" spans="1:3" ht="15.75" thickBot="1">
      <c r="A679" s="1326">
        <v>41500</v>
      </c>
      <c r="B679" s="1327">
        <v>174</v>
      </c>
      <c r="C679" s="64">
        <f t="shared" si="13"/>
        <v>1.1560822401076006E-2</v>
      </c>
    </row>
    <row r="680" spans="1:3" ht="15.75" thickBot="1">
      <c r="A680" s="1326">
        <v>41501</v>
      </c>
      <c r="B680" s="1327">
        <v>178</v>
      </c>
      <c r="C680" s="64">
        <f t="shared" si="13"/>
        <v>2.2728251077556091E-2</v>
      </c>
    </row>
    <row r="681" spans="1:3" ht="15.75" thickBot="1">
      <c r="A681" s="1326">
        <v>41502</v>
      </c>
      <c r="B681" s="1327">
        <v>180</v>
      </c>
      <c r="C681" s="64">
        <f t="shared" si="13"/>
        <v>1.1173300598125255E-2</v>
      </c>
    </row>
    <row r="682" spans="1:3" ht="15.75" thickBot="1">
      <c r="A682" s="1326">
        <v>41505</v>
      </c>
      <c r="B682" s="1327">
        <v>188</v>
      </c>
      <c r="C682" s="64">
        <f t="shared" si="13"/>
        <v>4.3485111939738891E-2</v>
      </c>
    </row>
    <row r="683" spans="1:3" ht="15.75" thickBot="1">
      <c r="A683" s="1326">
        <v>41506</v>
      </c>
      <c r="B683" s="1327">
        <v>190</v>
      </c>
      <c r="C683" s="64">
        <f t="shared" si="13"/>
        <v>1.0582109330537008E-2</v>
      </c>
    </row>
    <row r="684" spans="1:3" ht="15.75" thickBot="1">
      <c r="A684" s="1326">
        <v>41507</v>
      </c>
      <c r="B684" s="1327">
        <v>194</v>
      </c>
      <c r="C684" s="64">
        <f t="shared" si="13"/>
        <v>2.0834086902842053E-2</v>
      </c>
    </row>
    <row r="685" spans="1:3" ht="15.75" thickBot="1">
      <c r="A685" s="1326">
        <v>41508</v>
      </c>
      <c r="B685" s="1327">
        <v>190</v>
      </c>
      <c r="C685" s="64">
        <f t="shared" si="13"/>
        <v>-2.0834086902842025E-2</v>
      </c>
    </row>
    <row r="686" spans="1:3" ht="15.75" thickBot="1">
      <c r="A686" s="1326">
        <v>41509</v>
      </c>
      <c r="B686" s="1327">
        <v>192</v>
      </c>
      <c r="C686" s="64">
        <f t="shared" si="13"/>
        <v>1.0471299867295437E-2</v>
      </c>
    </row>
    <row r="687" spans="1:3" ht="15.75" thickBot="1">
      <c r="A687" s="1326">
        <v>41512</v>
      </c>
      <c r="B687" s="1327">
        <v>191</v>
      </c>
      <c r="C687" s="64">
        <f t="shared" si="13"/>
        <v>-5.2219439811517126E-3</v>
      </c>
    </row>
    <row r="688" spans="1:3" ht="15.75" thickBot="1">
      <c r="A688" s="1326">
        <v>41513</v>
      </c>
      <c r="B688" s="1327">
        <v>198</v>
      </c>
      <c r="C688" s="64">
        <f t="shared" si="13"/>
        <v>3.5993602647905451E-2</v>
      </c>
    </row>
    <row r="689" spans="1:3" ht="15.75" thickBot="1">
      <c r="A689" s="1326">
        <v>41514</v>
      </c>
      <c r="B689" s="1327">
        <v>197</v>
      </c>
      <c r="C689" s="64">
        <f t="shared" si="13"/>
        <v>-5.063301956546762E-3</v>
      </c>
    </row>
    <row r="690" spans="1:3" ht="15.75" thickBot="1">
      <c r="A690" s="1326">
        <v>41515</v>
      </c>
      <c r="B690" s="1327">
        <v>202</v>
      </c>
      <c r="C690" s="64">
        <f t="shared" si="13"/>
        <v>2.506396866321622E-2</v>
      </c>
    </row>
    <row r="691" spans="1:3" ht="15.75" thickBot="1">
      <c r="A691" s="1326">
        <v>41516</v>
      </c>
      <c r="B691" s="1327">
        <v>198</v>
      </c>
      <c r="C691" s="64">
        <f t="shared" si="13"/>
        <v>-2.0000666706669543E-2</v>
      </c>
    </row>
    <row r="692" spans="1:3" ht="15.75" thickBot="1">
      <c r="A692" s="1326">
        <v>41519</v>
      </c>
      <c r="B692" s="1327">
        <v>198</v>
      </c>
      <c r="C692" s="64">
        <f t="shared" si="13"/>
        <v>0</v>
      </c>
    </row>
    <row r="693" spans="1:3" ht="15.75" thickBot="1">
      <c r="A693" s="1326">
        <v>41520</v>
      </c>
      <c r="B693" s="1327">
        <v>194</v>
      </c>
      <c r="C693" s="64">
        <f t="shared" si="13"/>
        <v>-2.0408871631207123E-2</v>
      </c>
    </row>
    <row r="694" spans="1:3" ht="15.75" thickBot="1">
      <c r="A694" s="1326">
        <v>41521</v>
      </c>
      <c r="B694" s="1327">
        <v>196</v>
      </c>
      <c r="C694" s="64">
        <f t="shared" si="13"/>
        <v>1.0256500167189061E-2</v>
      </c>
    </row>
    <row r="695" spans="1:3" ht="15.75" thickBot="1">
      <c r="A695" s="1326">
        <v>41522</v>
      </c>
      <c r="B695" s="1327">
        <v>194</v>
      </c>
      <c r="C695" s="64">
        <f t="shared" si="13"/>
        <v>-1.025650016718911E-2</v>
      </c>
    </row>
    <row r="696" spans="1:3" ht="15.75" thickBot="1">
      <c r="A696" s="1326">
        <v>41523</v>
      </c>
      <c r="B696" s="1327">
        <v>189</v>
      </c>
      <c r="C696" s="64">
        <f t="shared" si="13"/>
        <v>-2.6111144003685773E-2</v>
      </c>
    </row>
    <row r="697" spans="1:3" ht="15.75" thickBot="1">
      <c r="A697" s="1326">
        <v>41526</v>
      </c>
      <c r="B697" s="1327">
        <v>183</v>
      </c>
      <c r="C697" s="64">
        <f t="shared" si="13"/>
        <v>-3.2260862218221435E-2</v>
      </c>
    </row>
    <row r="698" spans="1:3" ht="15.75" thickBot="1">
      <c r="A698" s="1326">
        <v>41527</v>
      </c>
      <c r="B698" s="1327">
        <v>193</v>
      </c>
      <c r="C698" s="64">
        <f t="shared" si="13"/>
        <v>5.3204036063464667E-2</v>
      </c>
    </row>
    <row r="699" spans="1:3" ht="15.75" thickBot="1">
      <c r="A699" s="1326">
        <v>41528</v>
      </c>
      <c r="B699" s="1327">
        <v>187</v>
      </c>
      <c r="C699" s="64">
        <f t="shared" si="13"/>
        <v>-3.1581572050298927E-2</v>
      </c>
    </row>
    <row r="700" spans="1:3" ht="15.75" thickBot="1">
      <c r="A700" s="1326">
        <v>41529</v>
      </c>
      <c r="B700" s="1327">
        <v>188</v>
      </c>
      <c r="C700" s="64">
        <f t="shared" si="13"/>
        <v>5.3333459753626029E-3</v>
      </c>
    </row>
    <row r="701" spans="1:3" ht="15.75" thickBot="1">
      <c r="A701" s="1326">
        <v>41530</v>
      </c>
      <c r="B701" s="1327">
        <v>185</v>
      </c>
      <c r="C701" s="64">
        <f t="shared" si="13"/>
        <v>-1.6086137751624381E-2</v>
      </c>
    </row>
    <row r="702" spans="1:3" ht="15.75" thickBot="1">
      <c r="A702" s="1326">
        <v>41533</v>
      </c>
      <c r="B702" s="1327">
        <v>175</v>
      </c>
      <c r="C702" s="64">
        <f t="shared" si="13"/>
        <v>-5.5569851154810765E-2</v>
      </c>
    </row>
    <row r="703" spans="1:3" ht="15.75" thickBot="1">
      <c r="A703" s="1326">
        <v>41534</v>
      </c>
      <c r="B703" s="1327">
        <v>169</v>
      </c>
      <c r="C703" s="64">
        <f t="shared" si="13"/>
        <v>-3.4887259000440547E-2</v>
      </c>
    </row>
    <row r="704" spans="1:3" ht="15.75" thickBot="1">
      <c r="A704" s="1326">
        <v>41535</v>
      </c>
      <c r="B704" s="1327">
        <v>155</v>
      </c>
      <c r="C704" s="64">
        <f t="shared" si="13"/>
        <v>-8.6473598003826826E-2</v>
      </c>
    </row>
    <row r="705" spans="1:3" ht="15.75" thickBot="1">
      <c r="A705" s="1326">
        <v>41536</v>
      </c>
      <c r="B705" s="1327">
        <v>161</v>
      </c>
      <c r="C705" s="64">
        <f t="shared" si="13"/>
        <v>3.7979248065216471E-2</v>
      </c>
    </row>
    <row r="706" spans="1:3" ht="15.75" thickBot="1">
      <c r="A706" s="1326">
        <v>41537</v>
      </c>
      <c r="B706" s="1327">
        <v>166</v>
      </c>
      <c r="C706" s="64">
        <f t="shared" si="13"/>
        <v>3.0583423372080185E-2</v>
      </c>
    </row>
    <row r="707" spans="1:3" ht="15.75" thickBot="1">
      <c r="A707" s="1326">
        <v>41540</v>
      </c>
      <c r="B707" s="1327">
        <v>169</v>
      </c>
      <c r="C707" s="64">
        <f t="shared" si="13"/>
        <v>1.7910926566530243E-2</v>
      </c>
    </row>
    <row r="708" spans="1:3" ht="15.75" thickBot="1">
      <c r="A708" s="1326">
        <v>41541</v>
      </c>
      <c r="B708" s="1327">
        <v>176</v>
      </c>
      <c r="C708" s="64">
        <f t="shared" ref="C708:C771" si="14">+LN(B708/B707)</f>
        <v>4.0585280115078302E-2</v>
      </c>
    </row>
    <row r="709" spans="1:3" ht="15.75" thickBot="1">
      <c r="A709" s="1326">
        <v>41542</v>
      </c>
      <c r="B709" s="1327">
        <v>177</v>
      </c>
      <c r="C709" s="64">
        <f t="shared" si="14"/>
        <v>5.6657375356772999E-3</v>
      </c>
    </row>
    <row r="710" spans="1:3" ht="15.75" thickBot="1">
      <c r="A710" s="1326">
        <v>41543</v>
      </c>
      <c r="B710" s="1327">
        <v>183</v>
      </c>
      <c r="C710" s="64">
        <f t="shared" si="14"/>
        <v>3.3336420267591711E-2</v>
      </c>
    </row>
    <row r="711" spans="1:3" ht="15.75" thickBot="1">
      <c r="A711" s="1326">
        <v>41544</v>
      </c>
      <c r="B711" s="1327">
        <v>184</v>
      </c>
      <c r="C711" s="64">
        <f t="shared" si="14"/>
        <v>5.4496047675646848E-3</v>
      </c>
    </row>
    <row r="712" spans="1:3" ht="15.75" thickBot="1">
      <c r="A712" s="1326">
        <v>41547</v>
      </c>
      <c r="B712" s="1327">
        <v>187</v>
      </c>
      <c r="C712" s="64">
        <f t="shared" si="14"/>
        <v>1.6172859245600968E-2</v>
      </c>
    </row>
    <row r="713" spans="1:3" ht="15.75" thickBot="1">
      <c r="A713" s="1326">
        <v>41548</v>
      </c>
      <c r="B713" s="1327">
        <v>185</v>
      </c>
      <c r="C713" s="64">
        <f t="shared" si="14"/>
        <v>-1.0752791776261849E-2</v>
      </c>
    </row>
    <row r="714" spans="1:3" ht="15.75" thickBot="1">
      <c r="A714" s="1326">
        <v>41549</v>
      </c>
      <c r="B714" s="1327">
        <v>187</v>
      </c>
      <c r="C714" s="64">
        <f t="shared" si="14"/>
        <v>1.0752791776261697E-2</v>
      </c>
    </row>
    <row r="715" spans="1:3" ht="15.75" thickBot="1">
      <c r="A715" s="1326">
        <v>41550</v>
      </c>
      <c r="B715" s="1327">
        <v>185</v>
      </c>
      <c r="C715" s="64">
        <f t="shared" si="14"/>
        <v>-1.0752791776261849E-2</v>
      </c>
    </row>
    <row r="716" spans="1:3" ht="15.75" thickBot="1">
      <c r="A716" s="1326">
        <v>41551</v>
      </c>
      <c r="B716" s="1327">
        <v>180</v>
      </c>
      <c r="C716" s="64">
        <f t="shared" si="14"/>
        <v>-2.7398974188114388E-2</v>
      </c>
    </row>
    <row r="717" spans="1:3" ht="15.75" thickBot="1">
      <c r="A717" s="1326">
        <v>41554</v>
      </c>
      <c r="B717" s="1327">
        <v>179</v>
      </c>
      <c r="C717" s="64">
        <f t="shared" si="14"/>
        <v>-5.5710450494553601E-3</v>
      </c>
    </row>
    <row r="718" spans="1:3" ht="15.75" thickBot="1">
      <c r="A718" s="1326">
        <v>41555</v>
      </c>
      <c r="B718" s="1327">
        <v>176</v>
      </c>
      <c r="C718" s="64">
        <f t="shared" si="14"/>
        <v>-1.6901810802603254E-2</v>
      </c>
    </row>
    <row r="719" spans="1:3" ht="15.75" thickBot="1">
      <c r="A719" s="1326">
        <v>41556</v>
      </c>
      <c r="B719" s="1327">
        <v>174</v>
      </c>
      <c r="C719" s="64">
        <f t="shared" si="14"/>
        <v>-1.1428695823622744E-2</v>
      </c>
    </row>
    <row r="720" spans="1:3" ht="15.75" thickBot="1">
      <c r="A720" s="1326">
        <v>41557</v>
      </c>
      <c r="B720" s="1327">
        <v>170</v>
      </c>
      <c r="C720" s="64">
        <f t="shared" si="14"/>
        <v>-2.3256862164267235E-2</v>
      </c>
    </row>
    <row r="721" spans="1:3" ht="15.75" thickBot="1">
      <c r="A721" s="1326">
        <v>41558</v>
      </c>
      <c r="B721" s="1327">
        <v>166</v>
      </c>
      <c r="C721" s="64">
        <f t="shared" si="14"/>
        <v>-2.3810648693718559E-2</v>
      </c>
    </row>
    <row r="722" spans="1:3" ht="15.75" thickBot="1">
      <c r="A722" s="1326">
        <v>41561</v>
      </c>
      <c r="B722" s="1327">
        <v>166</v>
      </c>
      <c r="C722" s="64">
        <f t="shared" si="14"/>
        <v>0</v>
      </c>
    </row>
    <row r="723" spans="1:3" ht="15.75" thickBot="1">
      <c r="A723" s="1326">
        <v>41562</v>
      </c>
      <c r="B723" s="1327">
        <v>162</v>
      </c>
      <c r="C723" s="64">
        <f t="shared" si="14"/>
        <v>-2.4391453124159124E-2</v>
      </c>
    </row>
    <row r="724" spans="1:3" ht="15.75" thickBot="1">
      <c r="A724" s="1326">
        <v>41563</v>
      </c>
      <c r="B724" s="1327">
        <v>166</v>
      </c>
      <c r="C724" s="64">
        <f t="shared" si="14"/>
        <v>2.4391453124159263E-2</v>
      </c>
    </row>
    <row r="725" spans="1:3" ht="15.75" thickBot="1">
      <c r="A725" s="1326">
        <v>41564</v>
      </c>
      <c r="B725" s="1327">
        <v>167</v>
      </c>
      <c r="C725" s="64">
        <f t="shared" si="14"/>
        <v>6.0060240602119487E-3</v>
      </c>
    </row>
    <row r="726" spans="1:3" ht="15.75" thickBot="1">
      <c r="A726" s="1326">
        <v>41565</v>
      </c>
      <c r="B726" s="1327">
        <v>161</v>
      </c>
      <c r="C726" s="64">
        <f t="shared" si="14"/>
        <v>-3.658944743229206E-2</v>
      </c>
    </row>
    <row r="727" spans="1:3" ht="15.75" thickBot="1">
      <c r="A727" s="1326">
        <v>41568</v>
      </c>
      <c r="B727" s="1327">
        <v>160</v>
      </c>
      <c r="C727" s="64">
        <f t="shared" si="14"/>
        <v>-6.2305497506360864E-3</v>
      </c>
    </row>
    <row r="728" spans="1:3" ht="15.75" thickBot="1">
      <c r="A728" s="1326">
        <v>41569</v>
      </c>
      <c r="B728" s="1327">
        <v>164</v>
      </c>
      <c r="C728" s="64">
        <f t="shared" si="14"/>
        <v>2.4692612590371414E-2</v>
      </c>
    </row>
    <row r="729" spans="1:3" ht="15.75" thickBot="1">
      <c r="A729" s="1326">
        <v>41570</v>
      </c>
      <c r="B729" s="1327">
        <v>166</v>
      </c>
      <c r="C729" s="64">
        <f t="shared" si="14"/>
        <v>1.212136053234482E-2</v>
      </c>
    </row>
    <row r="730" spans="1:3" ht="15.75" thickBot="1">
      <c r="A730" s="1326">
        <v>41571</v>
      </c>
      <c r="B730" s="1327">
        <v>169</v>
      </c>
      <c r="C730" s="64">
        <f t="shared" si="14"/>
        <v>1.7910926566530243E-2</v>
      </c>
    </row>
    <row r="731" spans="1:3" ht="15.75" thickBot="1">
      <c r="A731" s="1326">
        <v>41572</v>
      </c>
      <c r="B731" s="1327">
        <v>173</v>
      </c>
      <c r="C731" s="64">
        <f t="shared" si="14"/>
        <v>2.3392879574705375E-2</v>
      </c>
    </row>
    <row r="732" spans="1:3" ht="15.75" thickBot="1">
      <c r="A732" s="1326">
        <v>41575</v>
      </c>
      <c r="B732" s="1327">
        <v>173</v>
      </c>
      <c r="C732" s="64">
        <f t="shared" si="14"/>
        <v>0</v>
      </c>
    </row>
    <row r="733" spans="1:3" ht="15.75" thickBot="1">
      <c r="A733" s="1326">
        <v>41576</v>
      </c>
      <c r="B733" s="1327">
        <v>173</v>
      </c>
      <c r="C733" s="64">
        <f t="shared" si="14"/>
        <v>0</v>
      </c>
    </row>
    <row r="734" spans="1:3" ht="15.75" thickBot="1">
      <c r="A734" s="1326">
        <v>41577</v>
      </c>
      <c r="B734" s="1327">
        <v>168</v>
      </c>
      <c r="C734" s="64">
        <f t="shared" si="14"/>
        <v>-2.9327615094520063E-2</v>
      </c>
    </row>
    <row r="735" spans="1:3" ht="15.75" thickBot="1">
      <c r="A735" s="1326">
        <v>41578</v>
      </c>
      <c r="B735" s="1327">
        <v>172</v>
      </c>
      <c r="C735" s="64">
        <f t="shared" si="14"/>
        <v>2.3530497410194036E-2</v>
      </c>
    </row>
    <row r="736" spans="1:3" ht="15.75" thickBot="1">
      <c r="A736" s="1326">
        <v>41579</v>
      </c>
      <c r="B736" s="1327">
        <v>174</v>
      </c>
      <c r="C736" s="64">
        <f t="shared" si="14"/>
        <v>1.1560822401076006E-2</v>
      </c>
    </row>
    <row r="737" spans="1:3" ht="15.75" thickBot="1">
      <c r="A737" s="1326">
        <v>41582</v>
      </c>
      <c r="B737" s="1327">
        <v>174</v>
      </c>
      <c r="C737" s="64">
        <f t="shared" si="14"/>
        <v>0</v>
      </c>
    </row>
    <row r="738" spans="1:3" ht="15.75" thickBot="1">
      <c r="A738" s="1326">
        <v>41583</v>
      </c>
      <c r="B738" s="1327">
        <v>177</v>
      </c>
      <c r="C738" s="64">
        <f t="shared" si="14"/>
        <v>1.709443335930004E-2</v>
      </c>
    </row>
    <row r="739" spans="1:3" ht="15.75" thickBot="1">
      <c r="A739" s="1326">
        <v>41584</v>
      </c>
      <c r="B739" s="1327">
        <v>180</v>
      </c>
      <c r="C739" s="64">
        <f t="shared" si="14"/>
        <v>1.6807118316381191E-2</v>
      </c>
    </row>
    <row r="740" spans="1:3" ht="15.75" thickBot="1">
      <c r="A740" s="1326">
        <v>41585</v>
      </c>
      <c r="B740" s="1327">
        <v>187</v>
      </c>
      <c r="C740" s="64">
        <f t="shared" si="14"/>
        <v>3.8151765964376326E-2</v>
      </c>
    </row>
    <row r="741" spans="1:3" ht="15.75" thickBot="1">
      <c r="A741" s="1326">
        <v>41586</v>
      </c>
      <c r="B741" s="1327">
        <v>188</v>
      </c>
      <c r="C741" s="64">
        <f t="shared" si="14"/>
        <v>5.3333459753626029E-3</v>
      </c>
    </row>
    <row r="742" spans="1:3" ht="15.75" thickBot="1">
      <c r="A742" s="1326">
        <v>41589</v>
      </c>
      <c r="B742" s="1327">
        <v>188</v>
      </c>
      <c r="C742" s="64">
        <f t="shared" si="14"/>
        <v>0</v>
      </c>
    </row>
    <row r="743" spans="1:3" ht="15.75" thickBot="1">
      <c r="A743" s="1326">
        <v>41590</v>
      </c>
      <c r="B743" s="1327">
        <v>193</v>
      </c>
      <c r="C743" s="64">
        <f t="shared" si="14"/>
        <v>2.6248226074936411E-2</v>
      </c>
    </row>
    <row r="744" spans="1:3" ht="15.75" thickBot="1">
      <c r="A744" s="1326">
        <v>41591</v>
      </c>
      <c r="B744" s="1327">
        <v>193</v>
      </c>
      <c r="C744" s="64">
        <f t="shared" si="14"/>
        <v>0</v>
      </c>
    </row>
    <row r="745" spans="1:3" ht="15.75" thickBot="1">
      <c r="A745" s="1326">
        <v>41592</v>
      </c>
      <c r="B745" s="1327">
        <v>187</v>
      </c>
      <c r="C745" s="64">
        <f t="shared" si="14"/>
        <v>-3.1581572050298927E-2</v>
      </c>
    </row>
    <row r="746" spans="1:3" ht="15.75" thickBot="1">
      <c r="A746" s="1326">
        <v>41593</v>
      </c>
      <c r="B746" s="1327">
        <v>183</v>
      </c>
      <c r="C746" s="64">
        <f t="shared" si="14"/>
        <v>-2.1622464013165657E-2</v>
      </c>
    </row>
    <row r="747" spans="1:3" ht="15.75" thickBot="1">
      <c r="A747" s="1326">
        <v>41596</v>
      </c>
      <c r="B747" s="1327">
        <v>182</v>
      </c>
      <c r="C747" s="64">
        <f t="shared" si="14"/>
        <v>-5.4794657646255957E-3</v>
      </c>
    </row>
    <row r="748" spans="1:3" ht="15.75" thickBot="1">
      <c r="A748" s="1326">
        <v>41597</v>
      </c>
      <c r="B748" s="1327">
        <v>182</v>
      </c>
      <c r="C748" s="64">
        <f t="shared" si="14"/>
        <v>0</v>
      </c>
    </row>
    <row r="749" spans="1:3" ht="15.75" thickBot="1">
      <c r="A749" s="1326">
        <v>41598</v>
      </c>
      <c r="B749" s="1327">
        <v>183</v>
      </c>
      <c r="C749" s="64">
        <f t="shared" si="14"/>
        <v>5.4794657646255705E-3</v>
      </c>
    </row>
    <row r="750" spans="1:3" ht="15.75" thickBot="1">
      <c r="A750" s="1326">
        <v>41599</v>
      </c>
      <c r="B750" s="1327">
        <v>186</v>
      </c>
      <c r="C750" s="64">
        <f t="shared" si="14"/>
        <v>1.6260520871780326E-2</v>
      </c>
    </row>
    <row r="751" spans="1:3" ht="15.75" thickBot="1">
      <c r="A751" s="1326">
        <v>41600</v>
      </c>
      <c r="B751" s="1327">
        <v>188</v>
      </c>
      <c r="C751" s="64">
        <f t="shared" si="14"/>
        <v>1.069528911674795E-2</v>
      </c>
    </row>
    <row r="752" spans="1:3" ht="15.75" thickBot="1">
      <c r="A752" s="1326">
        <v>41603</v>
      </c>
      <c r="B752" s="1327">
        <v>190</v>
      </c>
      <c r="C752" s="64">
        <f t="shared" si="14"/>
        <v>1.0582109330537008E-2</v>
      </c>
    </row>
    <row r="753" spans="1:3" ht="15.75" thickBot="1">
      <c r="A753" s="1326">
        <v>41604</v>
      </c>
      <c r="B753" s="1327">
        <v>193</v>
      </c>
      <c r="C753" s="64">
        <f t="shared" si="14"/>
        <v>1.5666116744399456E-2</v>
      </c>
    </row>
    <row r="754" spans="1:3" ht="15.75" thickBot="1">
      <c r="A754" s="1326">
        <v>41605</v>
      </c>
      <c r="B754" s="1327">
        <v>193</v>
      </c>
      <c r="C754" s="64">
        <f t="shared" si="14"/>
        <v>0</v>
      </c>
    </row>
    <row r="755" spans="1:3" ht="15.75" thickBot="1">
      <c r="A755" s="1326">
        <v>41606</v>
      </c>
      <c r="B755" s="1327">
        <v>193</v>
      </c>
      <c r="C755" s="64">
        <f t="shared" si="14"/>
        <v>0</v>
      </c>
    </row>
    <row r="756" spans="1:3" ht="15.75" thickBot="1">
      <c r="A756" s="1326">
        <v>41607</v>
      </c>
      <c r="B756" s="1327">
        <v>193</v>
      </c>
      <c r="C756" s="64">
        <f t="shared" si="14"/>
        <v>0</v>
      </c>
    </row>
    <row r="757" spans="1:3" ht="15.75" thickBot="1">
      <c r="A757" s="1326">
        <v>41610</v>
      </c>
      <c r="B757" s="1327">
        <v>193</v>
      </c>
      <c r="C757" s="64">
        <f t="shared" si="14"/>
        <v>0</v>
      </c>
    </row>
    <row r="758" spans="1:3" ht="15.75" thickBot="1">
      <c r="A758" s="1326">
        <v>41611</v>
      </c>
      <c r="B758" s="1327">
        <v>196</v>
      </c>
      <c r="C758" s="64">
        <f t="shared" si="14"/>
        <v>1.5424470325631731E-2</v>
      </c>
    </row>
    <row r="759" spans="1:3" ht="15.75" thickBot="1">
      <c r="A759" s="1326">
        <v>41612</v>
      </c>
      <c r="B759" s="1327">
        <v>196</v>
      </c>
      <c r="C759" s="64">
        <f t="shared" si="14"/>
        <v>0</v>
      </c>
    </row>
    <row r="760" spans="1:3" ht="15.75" thickBot="1">
      <c r="A760" s="1326">
        <v>41613</v>
      </c>
      <c r="B760" s="1327">
        <v>195</v>
      </c>
      <c r="C760" s="64">
        <f t="shared" si="14"/>
        <v>-5.1151006667703768E-3</v>
      </c>
    </row>
    <row r="761" spans="1:3" ht="15.75" thickBot="1">
      <c r="A761" s="1326">
        <v>41614</v>
      </c>
      <c r="B761" s="1327">
        <v>190</v>
      </c>
      <c r="C761" s="64">
        <f t="shared" si="14"/>
        <v>-2.5975486403260677E-2</v>
      </c>
    </row>
    <row r="762" spans="1:3" ht="15.75" thickBot="1">
      <c r="A762" s="1326">
        <v>41617</v>
      </c>
      <c r="B762" s="1327">
        <v>191</v>
      </c>
      <c r="C762" s="64">
        <f t="shared" si="14"/>
        <v>5.249355886143745E-3</v>
      </c>
    </row>
    <row r="763" spans="1:3" ht="15.75" thickBot="1">
      <c r="A763" s="1326">
        <v>41618</v>
      </c>
      <c r="B763" s="1327">
        <v>189</v>
      </c>
      <c r="C763" s="64">
        <f t="shared" si="14"/>
        <v>-1.0526412986987504E-2</v>
      </c>
    </row>
    <row r="764" spans="1:3" ht="15.75" thickBot="1">
      <c r="A764" s="1326">
        <v>41619</v>
      </c>
      <c r="B764" s="1327">
        <v>186</v>
      </c>
      <c r="C764" s="64">
        <f t="shared" si="14"/>
        <v>-1.6000341346441189E-2</v>
      </c>
    </row>
    <row r="765" spans="1:3" ht="15.75" thickBot="1">
      <c r="A765" s="1326">
        <v>41620</v>
      </c>
      <c r="B765" s="1327">
        <v>179</v>
      </c>
      <c r="C765" s="64">
        <f t="shared" si="14"/>
        <v>-3.8360867872446212E-2</v>
      </c>
    </row>
    <row r="766" spans="1:3" ht="15.75" thickBot="1">
      <c r="A766" s="1326">
        <v>41621</v>
      </c>
      <c r="B766" s="1327">
        <v>176</v>
      </c>
      <c r="C766" s="64">
        <f t="shared" si="14"/>
        <v>-1.6901810802603254E-2</v>
      </c>
    </row>
    <row r="767" spans="1:3" ht="15.75" thickBot="1">
      <c r="A767" s="1326">
        <v>41624</v>
      </c>
      <c r="B767" s="1327">
        <v>175</v>
      </c>
      <c r="C767" s="64">
        <f t="shared" si="14"/>
        <v>-5.6980211146377786E-3</v>
      </c>
    </row>
    <row r="768" spans="1:3" ht="15.75" thickBot="1">
      <c r="A768" s="1326">
        <v>41625</v>
      </c>
      <c r="B768" s="1327">
        <v>180</v>
      </c>
      <c r="C768" s="64">
        <f t="shared" si="14"/>
        <v>2.8170876966696224E-2</v>
      </c>
    </row>
    <row r="769" spans="1:11" ht="15.75" thickBot="1">
      <c r="A769" s="1326">
        <v>41626</v>
      </c>
      <c r="B769" s="1327">
        <v>179</v>
      </c>
      <c r="C769" s="64">
        <f t="shared" si="14"/>
        <v>-5.5710450494553601E-3</v>
      </c>
    </row>
    <row r="770" spans="1:11" ht="15.75" thickBot="1">
      <c r="A770" s="1326">
        <v>41627</v>
      </c>
      <c r="B770" s="1327">
        <v>176</v>
      </c>
      <c r="C770" s="64">
        <f t="shared" si="14"/>
        <v>-1.6901810802603254E-2</v>
      </c>
    </row>
    <row r="771" spans="1:11" ht="15.75" thickBot="1">
      <c r="A771" s="1326">
        <v>41628</v>
      </c>
      <c r="B771" s="1327">
        <v>175</v>
      </c>
      <c r="C771" s="64">
        <f t="shared" si="14"/>
        <v>-5.6980211146377786E-3</v>
      </c>
    </row>
    <row r="772" spans="1:11" ht="15.75" thickBot="1">
      <c r="A772" s="1326">
        <v>41631</v>
      </c>
      <c r="B772" s="1327">
        <v>173</v>
      </c>
      <c r="C772" s="64">
        <f t="shared" ref="C772:C835" si="15">+LN(B772/B771)</f>
        <v>-1.1494379425735134E-2</v>
      </c>
    </row>
    <row r="773" spans="1:11" ht="15.75" thickBot="1">
      <c r="A773" s="1326">
        <v>41632</v>
      </c>
      <c r="B773" s="1327">
        <v>167</v>
      </c>
      <c r="C773" s="64">
        <f t="shared" si="15"/>
        <v>-3.5297782081023819E-2</v>
      </c>
    </row>
    <row r="774" spans="1:11" ht="15.75" thickBot="1">
      <c r="A774" s="1326">
        <v>41634</v>
      </c>
      <c r="B774" s="1327">
        <v>166</v>
      </c>
      <c r="C774" s="64">
        <f t="shared" si="15"/>
        <v>-6.0060240602119218E-3</v>
      </c>
    </row>
    <row r="775" spans="1:11" ht="15.75" thickBot="1">
      <c r="A775" s="1326">
        <v>41635</v>
      </c>
      <c r="B775" s="1327">
        <v>166</v>
      </c>
      <c r="C775" s="64">
        <f t="shared" si="15"/>
        <v>0</v>
      </c>
    </row>
    <row r="776" spans="1:11" ht="15.75" thickBot="1">
      <c r="A776" s="1326">
        <v>41638</v>
      </c>
      <c r="B776" s="1327">
        <v>170</v>
      </c>
      <c r="C776" s="64">
        <f t="shared" si="15"/>
        <v>2.3810648693718607E-2</v>
      </c>
    </row>
    <row r="777" spans="1:11" ht="15.75" thickBot="1">
      <c r="A777" s="1326">
        <v>41639</v>
      </c>
      <c r="B777" s="1327">
        <v>166</v>
      </c>
      <c r="C777" s="64">
        <f t="shared" si="15"/>
        <v>-2.3810648693718559E-2</v>
      </c>
    </row>
    <row r="778" spans="1:11" ht="15.75" thickBot="1">
      <c r="A778" s="1326">
        <v>41760</v>
      </c>
      <c r="B778" s="1327">
        <v>155</v>
      </c>
      <c r="C778" s="64">
        <f t="shared" si="15"/>
        <v>-6.8562671437296663E-2</v>
      </c>
    </row>
    <row r="779" spans="1:11" ht="15.75" thickBot="1">
      <c r="A779" s="1328">
        <v>41761</v>
      </c>
      <c r="B779" s="1329">
        <v>155</v>
      </c>
      <c r="C779" s="64">
        <f t="shared" si="15"/>
        <v>0</v>
      </c>
      <c r="G779" s="1466"/>
      <c r="H779" s="1466"/>
      <c r="I779" s="1466"/>
      <c r="J779" s="1467"/>
      <c r="K779" s="1466"/>
    </row>
    <row r="780" spans="1:11" ht="15.75" thickBot="1">
      <c r="A780" s="1326">
        <v>41764</v>
      </c>
      <c r="B780" s="1327">
        <v>156</v>
      </c>
      <c r="C780" s="64">
        <f t="shared" si="15"/>
        <v>6.4308903302903314E-3</v>
      </c>
      <c r="G780" s="1160"/>
      <c r="H780" s="1160"/>
      <c r="I780" s="538"/>
      <c r="J780" s="126"/>
      <c r="K780" s="1375"/>
    </row>
    <row r="781" spans="1:11" ht="15.75" thickBot="1">
      <c r="A781" s="1328">
        <v>41765</v>
      </c>
      <c r="B781" s="1329">
        <v>152</v>
      </c>
      <c r="C781" s="64">
        <f t="shared" si="15"/>
        <v>-2.5975486403260677E-2</v>
      </c>
      <c r="G781" s="1160"/>
      <c r="H781" s="1160"/>
      <c r="I781" s="538"/>
      <c r="J781" s="126"/>
      <c r="K781" s="1375"/>
    </row>
    <row r="782" spans="1:11" ht="15.75" thickBot="1">
      <c r="A782" s="1326">
        <v>41766</v>
      </c>
      <c r="B782" s="1327">
        <v>149</v>
      </c>
      <c r="C782" s="64">
        <f t="shared" si="15"/>
        <v>-1.9934214900817253E-2</v>
      </c>
      <c r="G782" s="1160"/>
      <c r="H782" s="1160"/>
      <c r="I782" s="538"/>
      <c r="J782" s="126"/>
      <c r="K782" s="1375"/>
    </row>
    <row r="783" spans="1:11" ht="15.75" thickBot="1">
      <c r="A783" s="1328">
        <v>41767</v>
      </c>
      <c r="B783" s="1329">
        <v>144</v>
      </c>
      <c r="C783" s="64">
        <f t="shared" si="15"/>
        <v>-3.4133006369458471E-2</v>
      </c>
      <c r="G783" s="1160"/>
      <c r="H783" s="1160"/>
      <c r="I783" s="538"/>
      <c r="J783" s="126"/>
      <c r="K783" s="1375"/>
    </row>
    <row r="784" spans="1:11" ht="15.75" thickBot="1">
      <c r="A784" s="1326">
        <v>41768</v>
      </c>
      <c r="B784" s="1327">
        <v>146</v>
      </c>
      <c r="C784" s="64">
        <f t="shared" si="15"/>
        <v>1.3793322132335769E-2</v>
      </c>
      <c r="G784" s="1160"/>
      <c r="H784" s="1160"/>
      <c r="I784" s="538"/>
      <c r="J784" s="126"/>
      <c r="K784" s="1375"/>
    </row>
    <row r="785" spans="1:11" ht="15.75" thickBot="1">
      <c r="A785" s="1328">
        <v>41771</v>
      </c>
      <c r="B785" s="1329">
        <v>146</v>
      </c>
      <c r="C785" s="64">
        <f t="shared" si="15"/>
        <v>0</v>
      </c>
      <c r="G785" s="1160"/>
      <c r="H785" s="1160"/>
      <c r="I785" s="538"/>
      <c r="J785" s="126"/>
      <c r="K785" s="1375"/>
    </row>
    <row r="786" spans="1:11" ht="15.75" thickBot="1">
      <c r="A786" s="1326">
        <v>41772</v>
      </c>
      <c r="B786" s="1327">
        <v>146</v>
      </c>
      <c r="C786" s="64">
        <f t="shared" si="15"/>
        <v>0</v>
      </c>
      <c r="G786" s="1160"/>
      <c r="H786" s="1160"/>
      <c r="I786" s="538"/>
      <c r="J786" s="126"/>
      <c r="K786" s="1375"/>
    </row>
    <row r="787" spans="1:11" ht="15.75" thickBot="1">
      <c r="A787" s="1328">
        <v>41773</v>
      </c>
      <c r="B787" s="1329">
        <v>147</v>
      </c>
      <c r="C787" s="64">
        <f t="shared" si="15"/>
        <v>6.8259650703998906E-3</v>
      </c>
      <c r="G787" s="1160"/>
      <c r="H787" s="1160"/>
      <c r="I787" s="538"/>
      <c r="J787" s="126"/>
      <c r="K787" s="1375"/>
    </row>
    <row r="788" spans="1:11" ht="15.75" thickBot="1">
      <c r="A788" s="1326">
        <v>41774</v>
      </c>
      <c r="B788" s="1327">
        <v>151</v>
      </c>
      <c r="C788" s="64">
        <f t="shared" si="15"/>
        <v>2.6847250036188056E-2</v>
      </c>
      <c r="G788" s="1160"/>
      <c r="H788" s="1160"/>
      <c r="I788" s="538"/>
      <c r="J788" s="126"/>
      <c r="K788" s="1375"/>
    </row>
    <row r="789" spans="1:11" ht="15.75" thickBot="1">
      <c r="A789" s="1328">
        <v>41775</v>
      </c>
      <c r="B789" s="1329">
        <v>152</v>
      </c>
      <c r="C789" s="64">
        <f t="shared" si="15"/>
        <v>6.6006840313520927E-3</v>
      </c>
      <c r="G789" s="1160"/>
      <c r="H789" s="1160"/>
      <c r="I789" s="538"/>
      <c r="J789" s="126"/>
      <c r="K789" s="1375"/>
    </row>
    <row r="790" spans="1:11" ht="15.75" thickBot="1">
      <c r="A790" s="1326">
        <v>41778</v>
      </c>
      <c r="B790" s="1327">
        <v>150</v>
      </c>
      <c r="C790" s="64">
        <f t="shared" si="15"/>
        <v>-1.324522675002068E-2</v>
      </c>
      <c r="G790" s="1160"/>
      <c r="H790" s="1160"/>
      <c r="I790" s="538"/>
      <c r="J790" s="126"/>
      <c r="K790" s="1375"/>
    </row>
    <row r="791" spans="1:11" ht="15.75" thickBot="1">
      <c r="A791" s="1328">
        <v>41779</v>
      </c>
      <c r="B791" s="1329">
        <v>158</v>
      </c>
      <c r="C791" s="64">
        <f t="shared" si="15"/>
        <v>5.1959738930710958E-2</v>
      </c>
      <c r="G791" s="1160"/>
      <c r="H791" s="1160"/>
      <c r="I791" s="538"/>
      <c r="J791" s="126"/>
      <c r="K791" s="1375"/>
    </row>
    <row r="792" spans="1:11" ht="15.75" thickBot="1">
      <c r="A792" s="1326">
        <v>41780</v>
      </c>
      <c r="B792" s="1327">
        <v>153</v>
      </c>
      <c r="C792" s="64">
        <f t="shared" si="15"/>
        <v>-3.2157111634531284E-2</v>
      </c>
      <c r="G792" s="1160"/>
      <c r="H792" s="1160"/>
      <c r="I792" s="538"/>
      <c r="J792" s="126"/>
      <c r="K792" s="1375"/>
    </row>
    <row r="793" spans="1:11" ht="15.75" thickBot="1">
      <c r="A793" s="1328">
        <v>41781</v>
      </c>
      <c r="B793" s="1329">
        <v>153</v>
      </c>
      <c r="C793" s="64">
        <f t="shared" si="15"/>
        <v>0</v>
      </c>
      <c r="G793" s="1160"/>
      <c r="H793" s="1160"/>
      <c r="I793" s="538"/>
      <c r="J793" s="126"/>
      <c r="K793" s="1375"/>
    </row>
    <row r="794" spans="1:11" ht="15.75" thickBot="1">
      <c r="A794" s="1326">
        <v>41782</v>
      </c>
      <c r="B794" s="1327">
        <v>154</v>
      </c>
      <c r="C794" s="64">
        <f t="shared" si="15"/>
        <v>6.5146810211936723E-3</v>
      </c>
      <c r="G794" s="1160"/>
      <c r="H794" s="1160"/>
      <c r="I794" s="538"/>
      <c r="J794" s="126"/>
      <c r="K794" s="1375"/>
    </row>
    <row r="795" spans="1:11" ht="15.75" thickBot="1">
      <c r="A795" s="1328">
        <v>41785</v>
      </c>
      <c r="B795" s="1329">
        <v>154</v>
      </c>
      <c r="C795" s="64">
        <f t="shared" si="15"/>
        <v>0</v>
      </c>
      <c r="G795" s="1160"/>
      <c r="H795" s="1160"/>
      <c r="I795" s="538"/>
      <c r="J795" s="126"/>
      <c r="K795" s="1375"/>
    </row>
    <row r="796" spans="1:11" ht="15.75" thickBot="1">
      <c r="A796" s="1326">
        <v>41786</v>
      </c>
      <c r="B796" s="1327">
        <v>153</v>
      </c>
      <c r="C796" s="64">
        <f t="shared" si="15"/>
        <v>-6.5146810211936419E-3</v>
      </c>
      <c r="G796" s="1160"/>
      <c r="H796" s="1160"/>
      <c r="I796" s="538"/>
      <c r="J796" s="126"/>
      <c r="K796" s="1375"/>
    </row>
    <row r="797" spans="1:11" ht="15.75" thickBot="1">
      <c r="A797" s="1328">
        <v>41787</v>
      </c>
      <c r="B797" s="1329">
        <v>151</v>
      </c>
      <c r="C797" s="64">
        <f t="shared" si="15"/>
        <v>-1.3158084577511088E-2</v>
      </c>
      <c r="G797" s="1160"/>
      <c r="H797" s="1160"/>
      <c r="I797" s="538"/>
      <c r="J797" s="126"/>
      <c r="K797" s="1375"/>
    </row>
    <row r="798" spans="1:11" ht="15.75" thickBot="1">
      <c r="A798" s="1326">
        <v>41788</v>
      </c>
      <c r="B798" s="1327">
        <v>142</v>
      </c>
      <c r="C798" s="64">
        <f t="shared" si="15"/>
        <v>-6.1452779213663565E-2</v>
      </c>
      <c r="G798" s="1160"/>
      <c r="H798" s="1160"/>
      <c r="I798" s="538"/>
      <c r="J798" s="126"/>
      <c r="K798" s="1375"/>
    </row>
    <row r="799" spans="1:11" ht="15.75" thickBot="1">
      <c r="A799" s="1328">
        <v>41789</v>
      </c>
      <c r="B799" s="1329">
        <v>143</v>
      </c>
      <c r="C799" s="64">
        <f t="shared" si="15"/>
        <v>7.0175726586465398E-3</v>
      </c>
      <c r="G799" s="1160"/>
      <c r="H799" s="1160"/>
      <c r="I799" s="538"/>
      <c r="J799" s="126"/>
      <c r="K799" s="1375"/>
    </row>
    <row r="800" spans="1:11" ht="15.75" thickBot="1">
      <c r="A800" s="1326">
        <v>41792</v>
      </c>
      <c r="B800" s="1327">
        <v>141</v>
      </c>
      <c r="C800" s="64">
        <f t="shared" si="15"/>
        <v>-1.4084739881738972E-2</v>
      </c>
      <c r="G800" s="1160"/>
      <c r="H800" s="1160"/>
      <c r="I800" s="538"/>
      <c r="J800" s="126"/>
      <c r="K800" s="1375"/>
    </row>
    <row r="801" spans="1:11" ht="15.75" thickBot="1">
      <c r="A801" s="1328">
        <v>41793</v>
      </c>
      <c r="B801" s="1329">
        <v>140</v>
      </c>
      <c r="C801" s="64">
        <f t="shared" si="15"/>
        <v>-7.1174677688639896E-3</v>
      </c>
      <c r="G801" s="1160"/>
      <c r="H801" s="1160"/>
      <c r="I801" s="538"/>
      <c r="J801" s="126"/>
      <c r="K801" s="1375"/>
    </row>
    <row r="802" spans="1:11" ht="15.75" thickBot="1">
      <c r="A802" s="1326">
        <v>41794</v>
      </c>
      <c r="B802" s="1327">
        <v>141</v>
      </c>
      <c r="C802" s="64">
        <f t="shared" si="15"/>
        <v>7.1174677688639549E-3</v>
      </c>
      <c r="G802" s="1160"/>
      <c r="H802" s="1160"/>
      <c r="I802" s="538"/>
      <c r="J802" s="126"/>
      <c r="K802" s="1375"/>
    </row>
    <row r="803" spans="1:11" ht="15.75" thickBot="1">
      <c r="A803" s="1328">
        <v>41795</v>
      </c>
      <c r="B803" s="1329">
        <v>139</v>
      </c>
      <c r="C803" s="64">
        <f t="shared" si="15"/>
        <v>-1.4285957247476541E-2</v>
      </c>
      <c r="G803" s="126"/>
      <c r="H803" s="126"/>
      <c r="I803" s="126"/>
      <c r="J803" s="1468"/>
      <c r="K803" s="1468"/>
    </row>
    <row r="804" spans="1:11" ht="15.75" thickBot="1">
      <c r="A804" s="1326">
        <v>41796</v>
      </c>
      <c r="B804" s="1327">
        <v>130</v>
      </c>
      <c r="C804" s="64">
        <f t="shared" si="15"/>
        <v>-6.693948267510938E-2</v>
      </c>
    </row>
    <row r="805" spans="1:11" ht="15.75" thickBot="1">
      <c r="A805" s="1328">
        <v>41799</v>
      </c>
      <c r="B805" s="1329">
        <v>129</v>
      </c>
      <c r="C805" s="64">
        <f t="shared" si="15"/>
        <v>-7.7220460939102778E-3</v>
      </c>
      <c r="I805" s="1332" t="s">
        <v>1382</v>
      </c>
      <c r="J805" s="1331">
        <f>+K803*SQRT(12)</f>
        <v>0</v>
      </c>
    </row>
    <row r="806" spans="1:11" ht="15.75" thickBot="1">
      <c r="A806" s="1326">
        <v>41800</v>
      </c>
      <c r="B806" s="1327">
        <v>132</v>
      </c>
      <c r="C806" s="64">
        <f t="shared" si="15"/>
        <v>2.2989518224698781E-2</v>
      </c>
    </row>
    <row r="807" spans="1:11" ht="15.75" thickBot="1">
      <c r="A807" s="1328">
        <v>41801</v>
      </c>
      <c r="B807" s="1329">
        <v>142</v>
      </c>
      <c r="C807" s="64">
        <f t="shared" si="15"/>
        <v>7.3025135014889817E-2</v>
      </c>
    </row>
    <row r="808" spans="1:11" ht="15.75" thickBot="1">
      <c r="A808" s="1326">
        <v>41802</v>
      </c>
      <c r="B808" s="1329">
        <v>146</v>
      </c>
      <c r="C808" s="64">
        <f t="shared" si="15"/>
        <v>2.7779564107075671E-2</v>
      </c>
    </row>
    <row r="809" spans="1:11" ht="15.75" thickBot="1">
      <c r="A809" s="1328">
        <v>41803</v>
      </c>
      <c r="B809" s="1329">
        <v>142</v>
      </c>
      <c r="C809" s="64">
        <f t="shared" si="15"/>
        <v>-2.7779564107075706E-2</v>
      </c>
    </row>
    <row r="810" spans="1:11" ht="15.75" thickBot="1">
      <c r="A810" s="1326">
        <v>41806</v>
      </c>
      <c r="B810" s="1327">
        <v>145</v>
      </c>
      <c r="C810" s="64">
        <f t="shared" si="15"/>
        <v>2.0906684819313643E-2</v>
      </c>
    </row>
    <row r="811" spans="1:11" ht="15.75" thickBot="1">
      <c r="A811" s="1328">
        <v>41807</v>
      </c>
      <c r="B811" s="1329">
        <v>144</v>
      </c>
      <c r="C811" s="64">
        <f t="shared" si="15"/>
        <v>-6.9204428445737952E-3</v>
      </c>
    </row>
    <row r="812" spans="1:11" ht="15.75" thickBot="1">
      <c r="A812" s="1326">
        <v>41808</v>
      </c>
      <c r="B812" s="1327">
        <v>144</v>
      </c>
      <c r="C812" s="64">
        <f t="shared" si="15"/>
        <v>0</v>
      </c>
    </row>
    <row r="813" spans="1:11" ht="15.75" thickBot="1">
      <c r="A813" s="1328">
        <v>41809</v>
      </c>
      <c r="B813" s="1329">
        <v>144</v>
      </c>
      <c r="C813" s="64">
        <f t="shared" si="15"/>
        <v>0</v>
      </c>
    </row>
    <row r="814" spans="1:11" ht="15.75" thickBot="1">
      <c r="A814" s="1326">
        <v>41810</v>
      </c>
      <c r="B814" s="1327">
        <v>145</v>
      </c>
      <c r="C814" s="64">
        <f t="shared" si="15"/>
        <v>6.920442844573757E-3</v>
      </c>
    </row>
    <row r="815" spans="1:11" ht="15.75" thickBot="1">
      <c r="A815" s="1328">
        <v>41813</v>
      </c>
      <c r="B815" s="1329">
        <v>143</v>
      </c>
      <c r="C815" s="64">
        <f t="shared" si="15"/>
        <v>-1.388911216066715E-2</v>
      </c>
    </row>
    <row r="816" spans="1:11" ht="15.75" thickBot="1">
      <c r="A816" s="1326">
        <v>41814</v>
      </c>
      <c r="B816" s="1327">
        <v>142</v>
      </c>
      <c r="C816" s="64">
        <f t="shared" si="15"/>
        <v>-7.0175726586465346E-3</v>
      </c>
    </row>
    <row r="817" spans="1:3" ht="15.75" thickBot="1">
      <c r="A817" s="1328">
        <v>41815</v>
      </c>
      <c r="B817" s="1329">
        <v>139</v>
      </c>
      <c r="C817" s="64">
        <f t="shared" si="15"/>
        <v>-2.1353124470568946E-2</v>
      </c>
    </row>
    <row r="818" spans="1:3" ht="15.75" thickBot="1">
      <c r="A818" s="1326">
        <v>41816</v>
      </c>
      <c r="B818" s="1327">
        <v>138</v>
      </c>
      <c r="C818" s="64">
        <f t="shared" si="15"/>
        <v>-7.2202479734870201E-3</v>
      </c>
    </row>
    <row r="819" spans="1:3" ht="15.75" thickBot="1">
      <c r="A819" s="1328">
        <v>41817</v>
      </c>
      <c r="B819" s="1329">
        <v>139</v>
      </c>
      <c r="C819" s="64">
        <f t="shared" si="15"/>
        <v>7.2202479734870973E-3</v>
      </c>
    </row>
    <row r="820" spans="1:3" ht="15.75" thickBot="1">
      <c r="A820" s="1326">
        <v>41820</v>
      </c>
      <c r="B820" s="1327">
        <v>144</v>
      </c>
      <c r="C820" s="64">
        <f t="shared" si="15"/>
        <v>3.5339366445308863E-2</v>
      </c>
    </row>
    <row r="821" spans="1:3" ht="15.75" thickBot="1">
      <c r="A821" s="1328">
        <v>41821</v>
      </c>
      <c r="B821" s="1329">
        <v>141</v>
      </c>
      <c r="C821" s="64">
        <f t="shared" si="15"/>
        <v>-2.1053409197832381E-2</v>
      </c>
    </row>
    <row r="822" spans="1:3" ht="15.75" thickBot="1">
      <c r="A822" s="1326">
        <v>41822</v>
      </c>
      <c r="B822" s="1327">
        <v>140</v>
      </c>
      <c r="C822" s="64">
        <f t="shared" si="15"/>
        <v>-7.1174677688639896E-3</v>
      </c>
    </row>
    <row r="823" spans="1:3" ht="15.75" thickBot="1">
      <c r="A823" s="1328">
        <v>41823</v>
      </c>
      <c r="B823" s="1329">
        <v>141</v>
      </c>
      <c r="C823" s="64">
        <f t="shared" si="15"/>
        <v>7.1174677688639549E-3</v>
      </c>
    </row>
    <row r="824" spans="1:3" ht="15.75" thickBot="1">
      <c r="A824" s="1326">
        <v>41824</v>
      </c>
      <c r="B824" s="1327">
        <v>141</v>
      </c>
      <c r="C824" s="64">
        <f t="shared" si="15"/>
        <v>0</v>
      </c>
    </row>
    <row r="825" spans="1:3" ht="15.75" thickBot="1">
      <c r="A825" s="1328">
        <v>41827</v>
      </c>
      <c r="B825" s="1329">
        <v>142</v>
      </c>
      <c r="C825" s="64">
        <f t="shared" si="15"/>
        <v>7.0671672230923528E-3</v>
      </c>
    </row>
    <row r="826" spans="1:3" ht="15.75" thickBot="1">
      <c r="A826" s="1326">
        <v>41828</v>
      </c>
      <c r="B826" s="1327">
        <v>144</v>
      </c>
      <c r="C826" s="64">
        <f t="shared" si="15"/>
        <v>1.398624197473987E-2</v>
      </c>
    </row>
    <row r="827" spans="1:3" ht="15.75" thickBot="1">
      <c r="A827" s="1328">
        <v>41829</v>
      </c>
      <c r="B827" s="1329">
        <v>148</v>
      </c>
      <c r="C827" s="64">
        <f t="shared" si="15"/>
        <v>2.7398974188114347E-2</v>
      </c>
    </row>
    <row r="828" spans="1:3" ht="15.75" thickBot="1">
      <c r="A828" s="1326">
        <v>41830</v>
      </c>
      <c r="B828" s="1327">
        <v>149</v>
      </c>
      <c r="C828" s="64">
        <f t="shared" si="15"/>
        <v>6.7340321813441194E-3</v>
      </c>
    </row>
    <row r="829" spans="1:3" ht="15.75" thickBot="1">
      <c r="A829" s="1328">
        <v>41831</v>
      </c>
      <c r="B829" s="1329">
        <v>151</v>
      </c>
      <c r="C829" s="64">
        <f t="shared" si="15"/>
        <v>1.3333530869465168E-2</v>
      </c>
    </row>
    <row r="830" spans="1:3" ht="15.75" thickBot="1">
      <c r="A830" s="1326">
        <v>41834</v>
      </c>
      <c r="B830" s="1327">
        <v>151</v>
      </c>
      <c r="C830" s="64">
        <f t="shared" si="15"/>
        <v>0</v>
      </c>
    </row>
    <row r="831" spans="1:3" ht="15.75" thickBot="1">
      <c r="A831" s="1328">
        <v>41835</v>
      </c>
      <c r="B831" s="1329">
        <v>152</v>
      </c>
      <c r="C831" s="64">
        <f t="shared" si="15"/>
        <v>6.6006840313520927E-3</v>
      </c>
    </row>
    <row r="832" spans="1:3" ht="15.75" thickBot="1">
      <c r="A832" s="1326">
        <v>41836</v>
      </c>
      <c r="B832" s="1327">
        <v>152</v>
      </c>
      <c r="C832" s="64">
        <f t="shared" si="15"/>
        <v>0</v>
      </c>
    </row>
    <row r="833" spans="1:3" ht="15.75" thickBot="1">
      <c r="A833" s="1328">
        <v>41837</v>
      </c>
      <c r="B833" s="1329">
        <v>155</v>
      </c>
      <c r="C833" s="64">
        <f t="shared" si="15"/>
        <v>1.9544596072970131E-2</v>
      </c>
    </row>
    <row r="834" spans="1:3" ht="15.75" thickBot="1">
      <c r="A834" s="1326">
        <v>41838</v>
      </c>
      <c r="B834" s="1327">
        <v>147</v>
      </c>
      <c r="C834" s="64">
        <f t="shared" si="15"/>
        <v>-5.2992530140510342E-2</v>
      </c>
    </row>
    <row r="835" spans="1:3" ht="15.75" thickBot="1">
      <c r="A835" s="1328">
        <v>41841</v>
      </c>
      <c r="B835" s="1329">
        <v>147</v>
      </c>
      <c r="C835" s="64">
        <f t="shared" si="15"/>
        <v>0</v>
      </c>
    </row>
    <row r="836" spans="1:3" ht="15.75" thickBot="1">
      <c r="A836" s="1326">
        <v>41842</v>
      </c>
      <c r="B836" s="1327">
        <v>142</v>
      </c>
      <c r="C836" s="64">
        <f t="shared" ref="C836:C899" si="16">+LN(B836/B835)</f>
        <v>-3.4605529177475607E-2</v>
      </c>
    </row>
    <row r="837" spans="1:3" ht="15.75" thickBot="1">
      <c r="A837" s="1328">
        <v>41843</v>
      </c>
      <c r="B837" s="1329">
        <v>137</v>
      </c>
      <c r="C837" s="64">
        <f t="shared" si="16"/>
        <v>-3.5846131773135767E-2</v>
      </c>
    </row>
    <row r="838" spans="1:3" ht="15.75" thickBot="1">
      <c r="A838" s="1326">
        <v>41844</v>
      </c>
      <c r="B838" s="1327">
        <v>138</v>
      </c>
      <c r="C838" s="64">
        <f t="shared" si="16"/>
        <v>7.2727593290798781E-3</v>
      </c>
    </row>
    <row r="839" spans="1:3" ht="15.75" thickBot="1">
      <c r="A839" s="1328">
        <v>41845</v>
      </c>
      <c r="B839" s="1329">
        <v>145</v>
      </c>
      <c r="C839" s="64">
        <f t="shared" si="16"/>
        <v>4.9480057263369716E-2</v>
      </c>
    </row>
    <row r="840" spans="1:3" ht="15.75" thickBot="1">
      <c r="A840" s="1326">
        <v>41848</v>
      </c>
      <c r="B840" s="1327">
        <v>145</v>
      </c>
      <c r="C840" s="64">
        <f t="shared" si="16"/>
        <v>0</v>
      </c>
    </row>
    <row r="841" spans="1:3" ht="15.75" thickBot="1">
      <c r="A841" s="1328">
        <v>41849</v>
      </c>
      <c r="B841" s="1329">
        <v>151</v>
      </c>
      <c r="C841" s="64">
        <f t="shared" si="16"/>
        <v>4.0546094394350009E-2</v>
      </c>
    </row>
    <row r="842" spans="1:3" ht="15.75" thickBot="1">
      <c r="A842" s="1326">
        <v>41850</v>
      </c>
      <c r="B842" s="1327">
        <v>142</v>
      </c>
      <c r="C842" s="64">
        <f t="shared" si="16"/>
        <v>-6.1452779213663565E-2</v>
      </c>
    </row>
    <row r="843" spans="1:3" ht="15.75" thickBot="1">
      <c r="A843" s="1328">
        <v>41851</v>
      </c>
      <c r="B843" s="1329">
        <v>145</v>
      </c>
      <c r="C843" s="64">
        <f t="shared" si="16"/>
        <v>2.0906684819313643E-2</v>
      </c>
    </row>
    <row r="844" spans="1:3" ht="15.75" thickBot="1">
      <c r="A844" s="1326">
        <v>41852</v>
      </c>
      <c r="B844" s="1327">
        <v>159</v>
      </c>
      <c r="C844" s="64">
        <f t="shared" si="16"/>
        <v>9.2170459799657101E-2</v>
      </c>
    </row>
    <row r="845" spans="1:3" ht="15.75" thickBot="1">
      <c r="A845" s="1328">
        <v>41855</v>
      </c>
      <c r="B845" s="1329">
        <v>157</v>
      </c>
      <c r="C845" s="64">
        <f t="shared" si="16"/>
        <v>-1.2658396871923465E-2</v>
      </c>
    </row>
    <row r="846" spans="1:3" ht="15.75" thickBot="1">
      <c r="A846" s="1326">
        <v>41856</v>
      </c>
      <c r="B846" s="1327">
        <v>162</v>
      </c>
      <c r="C846" s="64">
        <f t="shared" si="16"/>
        <v>3.1350529884076009E-2</v>
      </c>
    </row>
    <row r="847" spans="1:3" ht="15.75" thickBot="1">
      <c r="A847" s="1328">
        <v>41857</v>
      </c>
      <c r="B847" s="1329">
        <v>161</v>
      </c>
      <c r="C847" s="64">
        <f t="shared" si="16"/>
        <v>-6.191970247921107E-3</v>
      </c>
    </row>
    <row r="848" spans="1:3" ht="15.75" thickBot="1">
      <c r="A848" s="1326">
        <v>41858</v>
      </c>
      <c r="B848" s="1327">
        <v>166</v>
      </c>
      <c r="C848" s="64">
        <f t="shared" si="16"/>
        <v>3.0583423372080185E-2</v>
      </c>
    </row>
    <row r="849" spans="1:3" ht="15.75" thickBot="1">
      <c r="A849" s="1328">
        <v>41859</v>
      </c>
      <c r="B849" s="1329">
        <v>166</v>
      </c>
      <c r="C849" s="64">
        <f t="shared" si="16"/>
        <v>0</v>
      </c>
    </row>
    <row r="850" spans="1:3" ht="15.75" thickBot="1">
      <c r="A850" s="1326">
        <v>41862</v>
      </c>
      <c r="B850" s="1327">
        <v>163</v>
      </c>
      <c r="C850" s="64">
        <f t="shared" si="16"/>
        <v>-1.8237587549780901E-2</v>
      </c>
    </row>
    <row r="851" spans="1:3" ht="15.75" thickBot="1">
      <c r="A851" s="1328">
        <v>41863</v>
      </c>
      <c r="B851" s="1329">
        <v>159</v>
      </c>
      <c r="C851" s="64">
        <f t="shared" si="16"/>
        <v>-2.4845998586530776E-2</v>
      </c>
    </row>
    <row r="852" spans="1:3" ht="15.75" thickBot="1">
      <c r="A852" s="1326">
        <v>41864</v>
      </c>
      <c r="B852" s="1327">
        <v>158</v>
      </c>
      <c r="C852" s="64">
        <f t="shared" si="16"/>
        <v>-6.309169193264721E-3</v>
      </c>
    </row>
    <row r="853" spans="1:3" ht="15.75" thickBot="1">
      <c r="A853" s="1328">
        <v>41865</v>
      </c>
      <c r="B853" s="1329">
        <v>152</v>
      </c>
      <c r="C853" s="64">
        <f t="shared" si="16"/>
        <v>-3.8714512180690393E-2</v>
      </c>
    </row>
    <row r="854" spans="1:3" ht="15.75" thickBot="1">
      <c r="A854" s="1326">
        <v>41866</v>
      </c>
      <c r="B854" s="1327">
        <v>153</v>
      </c>
      <c r="C854" s="64">
        <f t="shared" si="16"/>
        <v>6.5574005461590396E-3</v>
      </c>
    </row>
    <row r="855" spans="1:3" ht="15.75" thickBot="1">
      <c r="A855" s="1328">
        <v>41869</v>
      </c>
      <c r="B855" s="1329">
        <v>152</v>
      </c>
      <c r="C855" s="64">
        <f t="shared" si="16"/>
        <v>-6.5574005461590517E-3</v>
      </c>
    </row>
    <row r="856" spans="1:3" ht="15.75" thickBot="1">
      <c r="A856" s="1326">
        <v>41870</v>
      </c>
      <c r="B856" s="1327">
        <v>148</v>
      </c>
      <c r="C856" s="64">
        <f t="shared" si="16"/>
        <v>-2.6668247082161294E-2</v>
      </c>
    </row>
    <row r="857" spans="1:3" ht="15.75" thickBot="1">
      <c r="A857" s="1328">
        <v>41871</v>
      </c>
      <c r="B857" s="1329">
        <v>145</v>
      </c>
      <c r="C857" s="64">
        <f t="shared" si="16"/>
        <v>-2.0478531343540676E-2</v>
      </c>
    </row>
    <row r="858" spans="1:3" ht="15.75" thickBot="1">
      <c r="A858" s="1326">
        <v>41872</v>
      </c>
      <c r="B858" s="1327">
        <v>146</v>
      </c>
      <c r="C858" s="64">
        <f t="shared" si="16"/>
        <v>6.8728792877620504E-3</v>
      </c>
    </row>
    <row r="859" spans="1:3" ht="15.75" thickBot="1">
      <c r="A859" s="1328">
        <v>41873</v>
      </c>
      <c r="B859" s="1329">
        <v>147</v>
      </c>
      <c r="C859" s="64">
        <f t="shared" si="16"/>
        <v>6.8259650703998906E-3</v>
      </c>
    </row>
    <row r="860" spans="1:3" ht="15.75" thickBot="1">
      <c r="A860" s="1326">
        <v>41876</v>
      </c>
      <c r="B860" s="1327">
        <v>146</v>
      </c>
      <c r="C860" s="64">
        <f t="shared" si="16"/>
        <v>-6.8259650703998706E-3</v>
      </c>
    </row>
    <row r="861" spans="1:3" ht="15.75" thickBot="1">
      <c r="A861" s="1328">
        <v>41877</v>
      </c>
      <c r="B861" s="1329">
        <v>147</v>
      </c>
      <c r="C861" s="64">
        <f t="shared" si="16"/>
        <v>6.8259650703998906E-3</v>
      </c>
    </row>
    <row r="862" spans="1:3" ht="15.75" thickBot="1">
      <c r="A862" s="1326">
        <v>41878</v>
      </c>
      <c r="B862" s="1327">
        <v>145</v>
      </c>
      <c r="C862" s="64">
        <f t="shared" si="16"/>
        <v>-1.3698844358161915E-2</v>
      </c>
    </row>
    <row r="863" spans="1:3" ht="15.75" thickBot="1">
      <c r="A863" s="1328">
        <v>41879</v>
      </c>
      <c r="B863" s="1329">
        <v>147</v>
      </c>
      <c r="C863" s="64">
        <f t="shared" si="16"/>
        <v>1.3698844358161927E-2</v>
      </c>
    </row>
    <row r="864" spans="1:3" ht="15.75" thickBot="1">
      <c r="A864" s="1326">
        <v>41880</v>
      </c>
      <c r="B864" s="1327">
        <v>146</v>
      </c>
      <c r="C864" s="64">
        <f t="shared" si="16"/>
        <v>-6.8259650703998706E-3</v>
      </c>
    </row>
    <row r="865" spans="1:3" ht="15.75" thickBot="1">
      <c r="A865" s="1328">
        <v>41883</v>
      </c>
      <c r="B865" s="1329">
        <v>146</v>
      </c>
      <c r="C865" s="64">
        <f t="shared" si="16"/>
        <v>0</v>
      </c>
    </row>
    <row r="866" spans="1:3" ht="15.75" thickBot="1">
      <c r="A866" s="1326">
        <v>41884</v>
      </c>
      <c r="B866" s="1327">
        <v>144</v>
      </c>
      <c r="C866" s="64">
        <f t="shared" si="16"/>
        <v>-1.3793322132335873E-2</v>
      </c>
    </row>
    <row r="867" spans="1:3" ht="15.75" thickBot="1">
      <c r="A867" s="1328">
        <v>41885</v>
      </c>
      <c r="B867" s="1329">
        <v>143</v>
      </c>
      <c r="C867" s="64">
        <f t="shared" si="16"/>
        <v>-6.9686693160933158E-3</v>
      </c>
    </row>
    <row r="868" spans="1:3" ht="15.75" thickBot="1">
      <c r="A868" s="1326">
        <v>41886</v>
      </c>
      <c r="B868" s="1327">
        <v>143</v>
      </c>
      <c r="C868" s="64">
        <f t="shared" si="16"/>
        <v>0</v>
      </c>
    </row>
    <row r="869" spans="1:3" ht="15.75" thickBot="1">
      <c r="A869" s="1328">
        <v>41887</v>
      </c>
      <c r="B869" s="1329">
        <v>141</v>
      </c>
      <c r="C869" s="64">
        <f t="shared" si="16"/>
        <v>-1.4084739881738972E-2</v>
      </c>
    </row>
    <row r="870" spans="1:3" ht="15.75" thickBot="1">
      <c r="A870" s="1326">
        <v>41890</v>
      </c>
      <c r="B870" s="1327">
        <v>143</v>
      </c>
      <c r="C870" s="64">
        <f t="shared" si="16"/>
        <v>1.4084739881739023E-2</v>
      </c>
    </row>
    <row r="871" spans="1:3" ht="15.75" thickBot="1">
      <c r="A871" s="1328">
        <v>41891</v>
      </c>
      <c r="B871" s="1329">
        <v>151</v>
      </c>
      <c r="C871" s="64">
        <f t="shared" si="16"/>
        <v>5.443520655501715E-2</v>
      </c>
    </row>
    <row r="872" spans="1:3" ht="15.75" thickBot="1">
      <c r="A872" s="1326">
        <v>41892</v>
      </c>
      <c r="B872" s="1327">
        <v>151</v>
      </c>
      <c r="C872" s="64">
        <f t="shared" si="16"/>
        <v>0</v>
      </c>
    </row>
    <row r="873" spans="1:3" ht="15.75" thickBot="1">
      <c r="A873" s="1328">
        <v>41893</v>
      </c>
      <c r="B873" s="1329">
        <v>150</v>
      </c>
      <c r="C873" s="64">
        <f t="shared" si="16"/>
        <v>-6.6445427186686131E-3</v>
      </c>
    </row>
    <row r="874" spans="1:3" ht="15.75" thickBot="1">
      <c r="A874" s="1324">
        <v>41894</v>
      </c>
      <c r="B874" s="1325">
        <v>151</v>
      </c>
      <c r="C874" s="64">
        <f t="shared" si="16"/>
        <v>6.6445427186685108E-3</v>
      </c>
    </row>
    <row r="875" spans="1:3" ht="15.75" thickBot="1">
      <c r="A875" s="1326">
        <v>41897</v>
      </c>
      <c r="B875" s="1327">
        <v>155</v>
      </c>
      <c r="C875" s="64">
        <f t="shared" si="16"/>
        <v>2.6145280104322207E-2</v>
      </c>
    </row>
    <row r="876" spans="1:3" ht="15.75" thickBot="1">
      <c r="A876" s="1328">
        <v>41898</v>
      </c>
      <c r="B876" s="1329">
        <v>156</v>
      </c>
      <c r="C876" s="64">
        <f t="shared" si="16"/>
        <v>6.4308903302903314E-3</v>
      </c>
    </row>
    <row r="877" spans="1:3" ht="15.75" thickBot="1">
      <c r="A877" s="1326">
        <v>41899</v>
      </c>
      <c r="B877" s="1327">
        <v>150</v>
      </c>
      <c r="C877" s="64">
        <f t="shared" si="16"/>
        <v>-3.9220713153281267E-2</v>
      </c>
    </row>
    <row r="878" spans="1:3" ht="15.75" thickBot="1">
      <c r="A878" s="1328">
        <v>41900</v>
      </c>
      <c r="B878" s="1329">
        <v>151</v>
      </c>
      <c r="C878" s="64">
        <f t="shared" si="16"/>
        <v>6.6445427186685108E-3</v>
      </c>
    </row>
    <row r="879" spans="1:3" ht="15.75" thickBot="1">
      <c r="A879" s="1326">
        <v>41901</v>
      </c>
      <c r="B879" s="1327">
        <v>150</v>
      </c>
      <c r="C879" s="64">
        <f t="shared" si="16"/>
        <v>-6.6445427186686131E-3</v>
      </c>
    </row>
    <row r="880" spans="1:3" ht="15.75" thickBot="1">
      <c r="A880" s="1328">
        <v>41904</v>
      </c>
      <c r="B880" s="1329">
        <v>153</v>
      </c>
      <c r="C880" s="64">
        <f t="shared" si="16"/>
        <v>1.980262729617973E-2</v>
      </c>
    </row>
    <row r="881" spans="1:3" ht="15.75" thickBot="1">
      <c r="A881" s="1326">
        <v>41905</v>
      </c>
      <c r="B881" s="1327">
        <v>154</v>
      </c>
      <c r="C881" s="64">
        <f t="shared" si="16"/>
        <v>6.5146810211936723E-3</v>
      </c>
    </row>
    <row r="882" spans="1:3" ht="15.75" thickBot="1">
      <c r="A882" s="1328">
        <v>41906</v>
      </c>
      <c r="B882" s="1329">
        <v>151</v>
      </c>
      <c r="C882" s="64">
        <f t="shared" si="16"/>
        <v>-1.9672765598704779E-2</v>
      </c>
    </row>
    <row r="883" spans="1:3" ht="15.75" thickBot="1">
      <c r="A883" s="1326">
        <v>41907</v>
      </c>
      <c r="B883" s="1327">
        <v>159</v>
      </c>
      <c r="C883" s="64">
        <f t="shared" si="16"/>
        <v>5.1624365405307245E-2</v>
      </c>
    </row>
    <row r="884" spans="1:3" ht="15.75" thickBot="1">
      <c r="A884" s="1328">
        <v>41908</v>
      </c>
      <c r="B884" s="1329">
        <v>161</v>
      </c>
      <c r="C884" s="64">
        <f t="shared" si="16"/>
        <v>1.2500162764231468E-2</v>
      </c>
    </row>
    <row r="885" spans="1:3" ht="15.75" thickBot="1">
      <c r="A885" s="1328">
        <v>41911</v>
      </c>
      <c r="B885" s="1329">
        <v>170</v>
      </c>
      <c r="C885" s="64">
        <f t="shared" si="16"/>
        <v>5.4394072065798764E-2</v>
      </c>
    </row>
    <row r="886" spans="1:3" ht="15.75" thickBot="1">
      <c r="A886" s="1326">
        <v>41912</v>
      </c>
      <c r="B886" s="1327">
        <v>169</v>
      </c>
      <c r="C886" s="64">
        <f t="shared" si="16"/>
        <v>-5.8997221271882708E-3</v>
      </c>
    </row>
    <row r="887" spans="1:3" ht="15.75" thickBot="1">
      <c r="A887" s="1328">
        <v>41913</v>
      </c>
      <c r="B887" s="1329">
        <v>176</v>
      </c>
      <c r="C887" s="64">
        <f t="shared" si="16"/>
        <v>4.0585280115078302E-2</v>
      </c>
    </row>
    <row r="888" spans="1:3" ht="15.75" thickBot="1">
      <c r="A888" s="1326">
        <v>41914</v>
      </c>
      <c r="B888" s="1327">
        <v>169</v>
      </c>
      <c r="C888" s="64">
        <f t="shared" si="16"/>
        <v>-4.058528011507833E-2</v>
      </c>
    </row>
    <row r="889" spans="1:3" ht="15.75" thickBot="1">
      <c r="A889" s="1328">
        <v>41915</v>
      </c>
      <c r="B889" s="1329">
        <v>168</v>
      </c>
      <c r="C889" s="64">
        <f t="shared" si="16"/>
        <v>-5.9347355198145777E-3</v>
      </c>
    </row>
    <row r="890" spans="1:3" ht="15.75" thickBot="1">
      <c r="A890" s="1326">
        <v>41918</v>
      </c>
      <c r="B890" s="1327">
        <v>170</v>
      </c>
      <c r="C890" s="64">
        <f t="shared" si="16"/>
        <v>1.1834457647002798E-2</v>
      </c>
    </row>
    <row r="891" spans="1:3" ht="15.75" thickBot="1">
      <c r="A891" s="1328">
        <v>41919</v>
      </c>
      <c r="B891" s="1329">
        <v>176</v>
      </c>
      <c r="C891" s="64">
        <f t="shared" si="16"/>
        <v>3.4685557987890109E-2</v>
      </c>
    </row>
    <row r="892" spans="1:3" ht="15.75" thickBot="1">
      <c r="A892" s="1326">
        <v>41920</v>
      </c>
      <c r="B892" s="1327">
        <v>176</v>
      </c>
      <c r="C892" s="64">
        <f t="shared" si="16"/>
        <v>0</v>
      </c>
    </row>
    <row r="893" spans="1:3" ht="15.75" thickBot="1">
      <c r="A893" s="1328">
        <v>41921</v>
      </c>
      <c r="B893" s="1329">
        <v>173</v>
      </c>
      <c r="C893" s="64">
        <f t="shared" si="16"/>
        <v>-1.7192400540372875E-2</v>
      </c>
    </row>
    <row r="894" spans="1:3" ht="15.75" thickBot="1">
      <c r="A894" s="1326">
        <v>41922</v>
      </c>
      <c r="B894" s="1327">
        <v>176</v>
      </c>
      <c r="C894" s="64">
        <f t="shared" si="16"/>
        <v>1.7192400540372771E-2</v>
      </c>
    </row>
    <row r="895" spans="1:3" ht="15.75" thickBot="1">
      <c r="A895" s="1328">
        <v>41925</v>
      </c>
      <c r="B895" s="1329">
        <v>176</v>
      </c>
      <c r="C895" s="64">
        <f t="shared" si="16"/>
        <v>0</v>
      </c>
    </row>
    <row r="896" spans="1:3" ht="15.75" thickBot="1">
      <c r="A896" s="1326">
        <v>41926</v>
      </c>
      <c r="B896" s="1327">
        <v>185</v>
      </c>
      <c r="C896" s="64">
        <f t="shared" si="16"/>
        <v>4.987183004017294E-2</v>
      </c>
    </row>
    <row r="897" spans="1:3" ht="15.75" thickBot="1">
      <c r="A897" s="1328">
        <v>41927</v>
      </c>
      <c r="B897" s="1329">
        <v>184</v>
      </c>
      <c r="C897" s="64">
        <f t="shared" si="16"/>
        <v>-5.4200674693391446E-3</v>
      </c>
    </row>
    <row r="898" spans="1:3" ht="15.75" thickBot="1">
      <c r="A898" s="1326">
        <v>41928</v>
      </c>
      <c r="B898" s="1327">
        <v>179</v>
      </c>
      <c r="C898" s="64">
        <f t="shared" si="16"/>
        <v>-2.7549951768230631E-2</v>
      </c>
    </row>
    <row r="899" spans="1:3" ht="15.75" thickBot="1">
      <c r="A899" s="1328">
        <v>41929</v>
      </c>
      <c r="B899" s="1329">
        <v>173</v>
      </c>
      <c r="C899" s="64">
        <f t="shared" si="16"/>
        <v>-3.4094211342976015E-2</v>
      </c>
    </row>
    <row r="900" spans="1:3" ht="15.75" thickBot="1">
      <c r="A900" s="1326">
        <v>41932</v>
      </c>
      <c r="B900" s="1327">
        <v>175</v>
      </c>
      <c r="C900" s="64">
        <f t="shared" ref="C900:C963" si="17">+LN(B900/B899)</f>
        <v>1.1494379425735212E-2</v>
      </c>
    </row>
    <row r="901" spans="1:3" ht="15.75" thickBot="1">
      <c r="A901" s="1328">
        <v>41933</v>
      </c>
      <c r="B901" s="1329">
        <v>176</v>
      </c>
      <c r="C901" s="64">
        <f t="shared" si="17"/>
        <v>5.6980211146377959E-3</v>
      </c>
    </row>
    <row r="902" spans="1:3" ht="15.75" thickBot="1">
      <c r="A902" s="1326">
        <v>41934</v>
      </c>
      <c r="B902" s="1327">
        <v>173</v>
      </c>
      <c r="C902" s="64">
        <f t="shared" si="17"/>
        <v>-1.7192400540372875E-2</v>
      </c>
    </row>
    <row r="903" spans="1:3" ht="15.75" thickBot="1">
      <c r="A903" s="1328">
        <v>41935</v>
      </c>
      <c r="B903" s="1329">
        <v>168</v>
      </c>
      <c r="C903" s="64">
        <f t="shared" si="17"/>
        <v>-2.9327615094520063E-2</v>
      </c>
    </row>
    <row r="904" spans="1:3" ht="15.75" thickBot="1">
      <c r="A904" s="1326">
        <v>41936</v>
      </c>
      <c r="B904" s="1327">
        <v>173</v>
      </c>
      <c r="C904" s="64">
        <f t="shared" si="17"/>
        <v>2.9327615094519921E-2</v>
      </c>
    </row>
    <row r="905" spans="1:3" ht="15.75" thickBot="1">
      <c r="A905" s="1328">
        <v>41939</v>
      </c>
      <c r="B905" s="1329">
        <v>176</v>
      </c>
      <c r="C905" s="64">
        <f t="shared" si="17"/>
        <v>1.7192400540372771E-2</v>
      </c>
    </row>
    <row r="906" spans="1:3" ht="15.75" thickBot="1">
      <c r="A906" s="1326">
        <v>41940</v>
      </c>
      <c r="B906" s="1327">
        <v>171</v>
      </c>
      <c r="C906" s="64">
        <f t="shared" si="17"/>
        <v>-2.8820438535491971E-2</v>
      </c>
    </row>
    <row r="907" spans="1:3" ht="15.75" thickBot="1">
      <c r="A907" s="1328">
        <v>41941</v>
      </c>
      <c r="B907" s="1329">
        <v>168</v>
      </c>
      <c r="C907" s="64">
        <f t="shared" si="17"/>
        <v>-1.7699577099400975E-2</v>
      </c>
    </row>
    <row r="908" spans="1:3" ht="15.75" thickBot="1">
      <c r="A908" s="1326">
        <v>41942</v>
      </c>
      <c r="B908" s="1327">
        <v>173</v>
      </c>
      <c r="C908" s="64">
        <f t="shared" si="17"/>
        <v>2.9327615094519921E-2</v>
      </c>
    </row>
    <row r="909" spans="1:3" ht="15.75" thickBot="1">
      <c r="A909" s="1328">
        <v>41943</v>
      </c>
      <c r="B909" s="1329">
        <v>172</v>
      </c>
      <c r="C909" s="64">
        <f t="shared" si="17"/>
        <v>-5.7971176843259579E-3</v>
      </c>
    </row>
    <row r="910" spans="1:3" ht="15.75" thickBot="1">
      <c r="A910" s="1326">
        <v>41946</v>
      </c>
      <c r="B910" s="1327">
        <v>172</v>
      </c>
      <c r="C910" s="64">
        <f t="shared" si="17"/>
        <v>0</v>
      </c>
    </row>
    <row r="911" spans="1:3" ht="15.75" thickBot="1">
      <c r="A911" s="1328">
        <v>41947</v>
      </c>
      <c r="B911" s="1329">
        <v>174</v>
      </c>
      <c r="C911" s="64">
        <f t="shared" si="17"/>
        <v>1.1560822401076006E-2</v>
      </c>
    </row>
    <row r="912" spans="1:3" ht="15.75" thickBot="1">
      <c r="A912" s="1326">
        <v>41948</v>
      </c>
      <c r="B912" s="1327">
        <v>173</v>
      </c>
      <c r="C912" s="64">
        <f t="shared" si="17"/>
        <v>-5.7637047167501294E-3</v>
      </c>
    </row>
    <row r="913" spans="1:3" ht="15.75" thickBot="1">
      <c r="A913" s="1328">
        <v>41949</v>
      </c>
      <c r="B913" s="1329">
        <v>169</v>
      </c>
      <c r="C913" s="64">
        <f t="shared" si="17"/>
        <v>-2.3392879574705462E-2</v>
      </c>
    </row>
    <row r="914" spans="1:3" ht="15.75" thickBot="1">
      <c r="A914" s="1326">
        <v>41950</v>
      </c>
      <c r="B914" s="1327">
        <v>173</v>
      </c>
      <c r="C914" s="64">
        <f t="shared" si="17"/>
        <v>2.3392879574705375E-2</v>
      </c>
    </row>
    <row r="915" spans="1:3" ht="15.75" thickBot="1">
      <c r="A915" s="1328">
        <v>41953</v>
      </c>
      <c r="B915" s="1329">
        <v>170</v>
      </c>
      <c r="C915" s="64">
        <f t="shared" si="17"/>
        <v>-1.749315744751723E-2</v>
      </c>
    </row>
    <row r="916" spans="1:3" ht="15.75" thickBot="1">
      <c r="A916" s="1326">
        <v>41954</v>
      </c>
      <c r="B916" s="1327">
        <v>170</v>
      </c>
      <c r="C916" s="64">
        <f t="shared" si="17"/>
        <v>0</v>
      </c>
    </row>
    <row r="917" spans="1:3" ht="15.75" thickBot="1">
      <c r="A917" s="1328">
        <v>41955</v>
      </c>
      <c r="B917" s="1329">
        <v>169</v>
      </c>
      <c r="C917" s="64">
        <f t="shared" si="17"/>
        <v>-5.8997221271882708E-3</v>
      </c>
    </row>
    <row r="918" spans="1:3" ht="15.75" thickBot="1">
      <c r="A918" s="1326">
        <v>41956</v>
      </c>
      <c r="B918" s="1327">
        <v>168</v>
      </c>
      <c r="C918" s="64">
        <f t="shared" si="17"/>
        <v>-5.9347355198145777E-3</v>
      </c>
    </row>
    <row r="919" spans="1:3" ht="15.75" thickBot="1">
      <c r="A919" s="1328">
        <v>41957</v>
      </c>
      <c r="B919" s="1329">
        <v>172</v>
      </c>
      <c r="C919" s="64">
        <f t="shared" si="17"/>
        <v>2.3530497410194036E-2</v>
      </c>
    </row>
    <row r="920" spans="1:3" ht="15.75" thickBot="1">
      <c r="A920" s="1326">
        <v>41960</v>
      </c>
      <c r="B920" s="1327">
        <v>173</v>
      </c>
      <c r="C920" s="64">
        <f t="shared" si="17"/>
        <v>5.7971176843259146E-3</v>
      </c>
    </row>
    <row r="921" spans="1:3" ht="15.75" thickBot="1">
      <c r="A921" s="1328">
        <v>41961</v>
      </c>
      <c r="B921" s="1329">
        <v>175</v>
      </c>
      <c r="C921" s="64">
        <f t="shared" si="17"/>
        <v>1.1494379425735212E-2</v>
      </c>
    </row>
    <row r="922" spans="1:3" ht="15.75" thickBot="1">
      <c r="A922" s="1326">
        <v>41962</v>
      </c>
      <c r="B922" s="1327">
        <v>173</v>
      </c>
      <c r="C922" s="64">
        <f t="shared" si="17"/>
        <v>-1.1494379425735134E-2</v>
      </c>
    </row>
    <row r="923" spans="1:3" ht="15.75" thickBot="1">
      <c r="A923" s="1328">
        <v>41963</v>
      </c>
      <c r="B923" s="1329">
        <v>176</v>
      </c>
      <c r="C923" s="64">
        <f t="shared" si="17"/>
        <v>1.7192400540372771E-2</v>
      </c>
    </row>
    <row r="924" spans="1:3" ht="15.75" thickBot="1">
      <c r="A924" s="1326">
        <v>41964</v>
      </c>
      <c r="B924" s="1327">
        <v>173</v>
      </c>
      <c r="C924" s="64">
        <f t="shared" si="17"/>
        <v>-1.7192400540372875E-2</v>
      </c>
    </row>
    <row r="925" spans="1:3" ht="15.75" thickBot="1">
      <c r="A925" s="1328">
        <v>41967</v>
      </c>
      <c r="B925" s="1329">
        <v>173</v>
      </c>
      <c r="C925" s="64">
        <f t="shared" si="17"/>
        <v>0</v>
      </c>
    </row>
    <row r="926" spans="1:3" ht="15.75" thickBot="1">
      <c r="A926" s="1326">
        <v>41968</v>
      </c>
      <c r="B926" s="1327">
        <v>178</v>
      </c>
      <c r="C926" s="64">
        <f t="shared" si="17"/>
        <v>2.8491955794306242E-2</v>
      </c>
    </row>
    <row r="927" spans="1:3" ht="15.75" thickBot="1">
      <c r="A927" s="1328">
        <v>41969</v>
      </c>
      <c r="B927" s="1329">
        <v>175</v>
      </c>
      <c r="C927" s="64">
        <f t="shared" si="17"/>
        <v>-1.6997576368571136E-2</v>
      </c>
    </row>
    <row r="928" spans="1:3" ht="15.75" thickBot="1">
      <c r="A928" s="1326">
        <v>41970</v>
      </c>
      <c r="B928" s="1327">
        <v>175</v>
      </c>
      <c r="C928" s="64">
        <f t="shared" si="17"/>
        <v>0</v>
      </c>
    </row>
    <row r="929" spans="1:3" ht="15.75" thickBot="1">
      <c r="A929" s="1328">
        <v>41971</v>
      </c>
      <c r="B929" s="1329">
        <v>175</v>
      </c>
      <c r="C929" s="64">
        <f t="shared" si="17"/>
        <v>0</v>
      </c>
    </row>
    <row r="930" spans="1:3" ht="15.75" thickBot="1">
      <c r="A930" s="1326">
        <v>41974</v>
      </c>
      <c r="B930" s="1327">
        <v>181</v>
      </c>
      <c r="C930" s="64">
        <f t="shared" si="17"/>
        <v>3.3711057342311661E-2</v>
      </c>
    </row>
    <row r="931" spans="1:3" ht="15.75" thickBot="1">
      <c r="A931" s="1328">
        <v>41975</v>
      </c>
      <c r="B931" s="1329">
        <v>175</v>
      </c>
      <c r="C931" s="64">
        <f t="shared" si="17"/>
        <v>-3.3711057342311723E-2</v>
      </c>
    </row>
    <row r="932" spans="1:3" ht="15.75" thickBot="1">
      <c r="A932" s="1326">
        <v>41976</v>
      </c>
      <c r="B932" s="1327">
        <v>175</v>
      </c>
      <c r="C932" s="64">
        <f t="shared" si="17"/>
        <v>0</v>
      </c>
    </row>
    <row r="933" spans="1:3" ht="15.75" thickBot="1">
      <c r="A933" s="1328">
        <v>41977</v>
      </c>
      <c r="B933" s="1329">
        <v>178</v>
      </c>
      <c r="C933" s="64">
        <f t="shared" si="17"/>
        <v>1.6997576368571077E-2</v>
      </c>
    </row>
    <row r="934" spans="1:3" ht="15.75" thickBot="1">
      <c r="A934" s="1326">
        <v>41978</v>
      </c>
      <c r="B934" s="1327">
        <v>181</v>
      </c>
      <c r="C934" s="64">
        <f t="shared" si="17"/>
        <v>1.6713480973740532E-2</v>
      </c>
    </row>
    <row r="935" spans="1:3" ht="15.75" thickBot="1">
      <c r="A935" s="1328">
        <v>41981</v>
      </c>
      <c r="B935" s="1329">
        <v>194</v>
      </c>
      <c r="C935" s="64">
        <f t="shared" si="17"/>
        <v>6.9361127797502323E-2</v>
      </c>
    </row>
    <row r="936" spans="1:3" ht="15.75" thickBot="1">
      <c r="A936" s="1326">
        <v>41982</v>
      </c>
      <c r="B936" s="1327">
        <v>199</v>
      </c>
      <c r="C936" s="64">
        <f t="shared" si="17"/>
        <v>2.5446665661164176E-2</v>
      </c>
    </row>
    <row r="937" spans="1:3" ht="15.75" thickBot="1">
      <c r="A937" s="1328">
        <v>41983</v>
      </c>
      <c r="B937" s="1329">
        <v>212</v>
      </c>
      <c r="C937" s="64">
        <f t="shared" si="17"/>
        <v>6.328144994752001E-2</v>
      </c>
    </row>
    <row r="938" spans="1:3" ht="15.75" thickBot="1">
      <c r="A938" s="1326">
        <v>41984</v>
      </c>
      <c r="B938" s="1327">
        <v>218</v>
      </c>
      <c r="C938" s="64">
        <f t="shared" si="17"/>
        <v>2.7908788117076658E-2</v>
      </c>
    </row>
    <row r="939" spans="1:3" ht="15.75" thickBot="1">
      <c r="A939" s="1328">
        <v>41985</v>
      </c>
      <c r="B939" s="1329">
        <v>230</v>
      </c>
      <c r="C939" s="64">
        <f t="shared" si="17"/>
        <v>5.3584246134106263E-2</v>
      </c>
    </row>
    <row r="940" spans="1:3" ht="15.75" thickBot="1">
      <c r="A940" s="1326">
        <v>41988</v>
      </c>
      <c r="B940" s="1327">
        <v>239</v>
      </c>
      <c r="C940" s="64">
        <f t="shared" si="17"/>
        <v>3.8384243008315291E-2</v>
      </c>
    </row>
    <row r="941" spans="1:3" ht="15.75" thickBot="1">
      <c r="A941" s="1328">
        <v>41989</v>
      </c>
      <c r="B941" s="1329">
        <v>253</v>
      </c>
      <c r="C941" s="64">
        <f t="shared" si="17"/>
        <v>5.6925936796009609E-2</v>
      </c>
    </row>
    <row r="942" spans="1:3" ht="15.75" thickBot="1">
      <c r="A942" s="1326">
        <v>41990</v>
      </c>
      <c r="B942" s="1327">
        <v>235</v>
      </c>
      <c r="C942" s="64">
        <f t="shared" si="17"/>
        <v>-7.3803974583361312E-2</v>
      </c>
    </row>
    <row r="943" spans="1:3" ht="15.75" thickBot="1">
      <c r="A943" s="1328">
        <v>41991</v>
      </c>
      <c r="B943" s="1329">
        <v>207</v>
      </c>
      <c r="C943" s="64">
        <f t="shared" si="17"/>
        <v>-0.12686672087878983</v>
      </c>
    </row>
    <row r="944" spans="1:3" ht="15.75" thickBot="1">
      <c r="A944" s="1326">
        <v>41992</v>
      </c>
      <c r="B944" s="1327">
        <v>197</v>
      </c>
      <c r="C944" s="64">
        <f t="shared" si="17"/>
        <v>-4.951506452738056E-2</v>
      </c>
    </row>
    <row r="945" spans="1:3" ht="15.75" thickBot="1">
      <c r="A945" s="1328">
        <v>41995</v>
      </c>
      <c r="B945" s="1329">
        <v>194</v>
      </c>
      <c r="C945" s="64">
        <f t="shared" si="17"/>
        <v>-1.5345569674660421E-2</v>
      </c>
    </row>
    <row r="946" spans="1:3" ht="15.75" thickBot="1">
      <c r="A946" s="1326">
        <v>41996</v>
      </c>
      <c r="B946" s="1327">
        <v>187</v>
      </c>
      <c r="C946" s="64">
        <f t="shared" si="17"/>
        <v>-3.6749542208741492E-2</v>
      </c>
    </row>
    <row r="947" spans="1:3" ht="15.75" thickBot="1">
      <c r="A947" s="1328">
        <v>41997</v>
      </c>
      <c r="B947" s="1329">
        <v>188</v>
      </c>
      <c r="C947" s="64">
        <f t="shared" si="17"/>
        <v>5.3333459753626029E-3</v>
      </c>
    </row>
    <row r="948" spans="1:3" ht="15.75" thickBot="1">
      <c r="A948" s="1326">
        <v>41999</v>
      </c>
      <c r="B948" s="1327">
        <v>187</v>
      </c>
      <c r="C948" s="64">
        <f t="shared" si="17"/>
        <v>-5.3333459753626168E-3</v>
      </c>
    </row>
    <row r="949" spans="1:3" ht="15.75" thickBot="1">
      <c r="A949" s="1328">
        <v>42002</v>
      </c>
      <c r="B949" s="1329">
        <v>189</v>
      </c>
      <c r="C949" s="64">
        <f t="shared" si="17"/>
        <v>1.0638398205055797E-2</v>
      </c>
    </row>
    <row r="950" spans="1:3" ht="15.75" thickBot="1">
      <c r="A950" s="1326">
        <v>42003</v>
      </c>
      <c r="B950" s="1327">
        <v>191</v>
      </c>
      <c r="C950" s="64">
        <f t="shared" si="17"/>
        <v>1.0526412986987603E-2</v>
      </c>
    </row>
    <row r="951" spans="1:3" ht="15.75" thickBot="1">
      <c r="A951" s="1328">
        <v>42004</v>
      </c>
      <c r="B951" s="1329">
        <v>196</v>
      </c>
      <c r="C951" s="64">
        <f t="shared" si="17"/>
        <v>2.5841231183887328E-2</v>
      </c>
    </row>
    <row r="952" spans="1:3" ht="15.75" thickBot="1">
      <c r="A952" s="1326">
        <v>42006</v>
      </c>
      <c r="B952" s="1327">
        <v>202</v>
      </c>
      <c r="C952" s="64">
        <f t="shared" si="17"/>
        <v>3.0153038170687457E-2</v>
      </c>
    </row>
    <row r="953" spans="1:3" ht="15.75" thickBot="1">
      <c r="A953" s="1328">
        <v>42009</v>
      </c>
      <c r="B953" s="1329">
        <v>221</v>
      </c>
      <c r="C953" s="64">
        <f t="shared" si="17"/>
        <v>8.9895004116548133E-2</v>
      </c>
    </row>
    <row r="954" spans="1:3" ht="15.75" thickBot="1">
      <c r="A954" s="1326">
        <v>42010</v>
      </c>
      <c r="B954" s="1327">
        <v>227</v>
      </c>
      <c r="C954" s="64">
        <f t="shared" si="17"/>
        <v>2.6787315963649763E-2</v>
      </c>
    </row>
    <row r="955" spans="1:3" ht="15.75" thickBot="1">
      <c r="A955" s="1328">
        <v>42011</v>
      </c>
      <c r="B955" s="1329">
        <v>221</v>
      </c>
      <c r="C955" s="64">
        <f t="shared" si="17"/>
        <v>-2.6787315963649843E-2</v>
      </c>
    </row>
    <row r="956" spans="1:3" ht="15.75" thickBot="1">
      <c r="A956" s="1326">
        <v>42012</v>
      </c>
      <c r="B956" s="1327">
        <v>215</v>
      </c>
      <c r="C956" s="64">
        <f t="shared" si="17"/>
        <v>-2.7524673390090033E-2</v>
      </c>
    </row>
    <row r="957" spans="1:3" ht="15.75" thickBot="1">
      <c r="A957" s="1328">
        <v>42013</v>
      </c>
      <c r="B957" s="1329">
        <v>220</v>
      </c>
      <c r="C957" s="64">
        <f t="shared" si="17"/>
        <v>2.2989518224698781E-2</v>
      </c>
    </row>
    <row r="958" spans="1:3" ht="15.75" thickBot="1">
      <c r="A958" s="1326">
        <v>42016</v>
      </c>
      <c r="B958" s="1327">
        <v>231</v>
      </c>
      <c r="C958" s="64">
        <f t="shared" si="17"/>
        <v>4.8790164169432049E-2</v>
      </c>
    </row>
    <row r="959" spans="1:3" ht="15.75" thickBot="1">
      <c r="A959" s="1328">
        <v>42017</v>
      </c>
      <c r="B959" s="1329">
        <v>235</v>
      </c>
      <c r="C959" s="64">
        <f t="shared" si="17"/>
        <v>1.7167803622365498E-2</v>
      </c>
    </row>
    <row r="960" spans="1:3" ht="15.75" thickBot="1">
      <c r="A960" s="1326">
        <v>42018</v>
      </c>
      <c r="B960" s="1327">
        <v>230</v>
      </c>
      <c r="C960" s="64">
        <f t="shared" si="17"/>
        <v>-2.1506205220963619E-2</v>
      </c>
    </row>
    <row r="961" spans="1:3" ht="15.75" thickBot="1">
      <c r="A961" s="1328">
        <v>42019</v>
      </c>
      <c r="B961" s="1329">
        <v>245</v>
      </c>
      <c r="C961" s="64">
        <f t="shared" si="17"/>
        <v>6.3178901621531669E-2</v>
      </c>
    </row>
    <row r="962" spans="1:3" ht="15.75" thickBot="1">
      <c r="A962" s="1326">
        <v>42020</v>
      </c>
      <c r="B962" s="1327">
        <v>242</v>
      </c>
      <c r="C962" s="64">
        <f t="shared" si="17"/>
        <v>-1.2320484388040624E-2</v>
      </c>
    </row>
    <row r="963" spans="1:3" ht="15.75" thickBot="1">
      <c r="A963" s="1328">
        <v>42023</v>
      </c>
      <c r="B963" s="1329">
        <v>242</v>
      </c>
      <c r="C963" s="64">
        <f t="shared" si="17"/>
        <v>0</v>
      </c>
    </row>
    <row r="964" spans="1:3" ht="15.75" thickBot="1">
      <c r="A964" s="1326">
        <v>42024</v>
      </c>
      <c r="B964" s="1327">
        <v>241</v>
      </c>
      <c r="C964" s="64">
        <f t="shared" ref="C964:C1027" si="18">+LN(B964/B963)</f>
        <v>-4.1407926660313879E-3</v>
      </c>
    </row>
    <row r="965" spans="1:3" ht="15.75" thickBot="1">
      <c r="A965" s="1328">
        <v>42025</v>
      </c>
      <c r="B965" s="1329">
        <v>242</v>
      </c>
      <c r="C965" s="64">
        <f t="shared" si="18"/>
        <v>4.1407926660313871E-3</v>
      </c>
    </row>
    <row r="966" spans="1:3" ht="15.75" thickBot="1">
      <c r="A966" s="1326">
        <v>42026</v>
      </c>
      <c r="B966" s="1327">
        <v>238</v>
      </c>
      <c r="C966" s="64">
        <f t="shared" si="18"/>
        <v>-1.6667052485211647E-2</v>
      </c>
    </row>
    <row r="967" spans="1:3" ht="15.75" thickBot="1">
      <c r="A967" s="1328">
        <v>42027</v>
      </c>
      <c r="B967" s="1329">
        <v>230</v>
      </c>
      <c r="C967" s="64">
        <f t="shared" si="18"/>
        <v>-3.4191364748279308E-2</v>
      </c>
    </row>
    <row r="968" spans="1:3" ht="15.75" thickBot="1">
      <c r="A968" s="1326">
        <v>42030</v>
      </c>
      <c r="B968" s="1327">
        <v>231</v>
      </c>
      <c r="C968" s="64">
        <f t="shared" si="18"/>
        <v>4.3384015985981411E-3</v>
      </c>
    </row>
    <row r="969" spans="1:3" ht="15.75" thickBot="1">
      <c r="A969" s="1328">
        <v>42031</v>
      </c>
      <c r="B969" s="1329">
        <v>231</v>
      </c>
      <c r="C969" s="64">
        <f t="shared" si="18"/>
        <v>0</v>
      </c>
    </row>
    <row r="970" spans="1:3" ht="15.75" thickBot="1">
      <c r="A970" s="1326">
        <v>42032</v>
      </c>
      <c r="B970" s="1327">
        <v>238</v>
      </c>
      <c r="C970" s="64">
        <f t="shared" si="18"/>
        <v>2.9852963149681128E-2</v>
      </c>
    </row>
    <row r="971" spans="1:3" ht="15.75" thickBot="1">
      <c r="A971" s="1328">
        <v>42033</v>
      </c>
      <c r="B971" s="1329">
        <v>232</v>
      </c>
      <c r="C971" s="64">
        <f t="shared" si="18"/>
        <v>-2.5533302005164762E-2</v>
      </c>
    </row>
    <row r="972" spans="1:3" ht="15.75" thickBot="1">
      <c r="A972" s="1326">
        <v>42034</v>
      </c>
      <c r="B972" s="1327">
        <v>229</v>
      </c>
      <c r="C972" s="64">
        <f t="shared" si="18"/>
        <v>-1.3015368112070361E-2</v>
      </c>
    </row>
    <row r="973" spans="1:3" ht="15.75" thickBot="1">
      <c r="A973" s="1328">
        <v>42037</v>
      </c>
      <c r="B973" s="1329">
        <v>219</v>
      </c>
      <c r="C973" s="64">
        <f t="shared" si="18"/>
        <v>-4.4650273737738819E-2</v>
      </c>
    </row>
    <row r="974" spans="1:3" ht="15.75" thickBot="1">
      <c r="A974" s="1326">
        <v>42038</v>
      </c>
      <c r="B974" s="1327">
        <v>212</v>
      </c>
      <c r="C974" s="64">
        <f t="shared" si="18"/>
        <v>-3.2485455144488425E-2</v>
      </c>
    </row>
    <row r="975" spans="1:3" ht="15.75" thickBot="1">
      <c r="A975" s="1328">
        <v>42039</v>
      </c>
      <c r="B975" s="1329">
        <v>218</v>
      </c>
      <c r="C975" s="64">
        <f t="shared" si="18"/>
        <v>2.7908788117076658E-2</v>
      </c>
    </row>
    <row r="976" spans="1:3" ht="15.75" thickBot="1">
      <c r="A976" s="1326">
        <v>42040</v>
      </c>
      <c r="B976" s="1327">
        <v>214</v>
      </c>
      <c r="C976" s="64">
        <f t="shared" si="18"/>
        <v>-1.8519047767237527E-2</v>
      </c>
    </row>
    <row r="977" spans="1:3" ht="15.75" thickBot="1">
      <c r="A977" s="1328">
        <v>42041</v>
      </c>
      <c r="B977" s="1329">
        <v>212</v>
      </c>
      <c r="C977" s="64">
        <f t="shared" si="18"/>
        <v>-9.3897403498390316E-3</v>
      </c>
    </row>
    <row r="978" spans="1:3" ht="15.75" thickBot="1">
      <c r="A978" s="1326">
        <v>42044</v>
      </c>
      <c r="B978" s="1327">
        <v>212</v>
      </c>
      <c r="C978" s="64">
        <f t="shared" si="18"/>
        <v>0</v>
      </c>
    </row>
    <row r="979" spans="1:3" ht="15.75" thickBot="1">
      <c r="A979" s="1328">
        <v>42045</v>
      </c>
      <c r="B979" s="1329">
        <v>218</v>
      </c>
      <c r="C979" s="64">
        <f t="shared" si="18"/>
        <v>2.7908788117076658E-2</v>
      </c>
    </row>
    <row r="980" spans="1:3" ht="15.75" thickBot="1">
      <c r="A980" s="1326">
        <v>42046</v>
      </c>
      <c r="B980" s="1327">
        <v>217</v>
      </c>
      <c r="C980" s="64">
        <f t="shared" si="18"/>
        <v>-4.5977092486294314E-3</v>
      </c>
    </row>
    <row r="981" spans="1:3" ht="15.75" thickBot="1">
      <c r="A981" s="1328">
        <v>42047</v>
      </c>
      <c r="B981" s="1329">
        <v>214</v>
      </c>
      <c r="C981" s="64">
        <f t="shared" si="18"/>
        <v>-1.392133851860812E-2</v>
      </c>
    </row>
    <row r="982" spans="1:3" ht="15.75" thickBot="1">
      <c r="A982" s="1326">
        <v>42048</v>
      </c>
      <c r="B982" s="1327">
        <v>207</v>
      </c>
      <c r="C982" s="64">
        <f t="shared" si="18"/>
        <v>-3.3257221756482352E-2</v>
      </c>
    </row>
    <row r="983" spans="1:3" ht="15.75" thickBot="1">
      <c r="A983" s="1328">
        <v>42051</v>
      </c>
      <c r="B983" s="1329">
        <v>207</v>
      </c>
      <c r="C983" s="64">
        <f t="shared" si="18"/>
        <v>0</v>
      </c>
    </row>
    <row r="984" spans="1:3" ht="15.75" thickBot="1">
      <c r="A984" s="1326">
        <v>42052</v>
      </c>
      <c r="B984" s="1327">
        <v>199</v>
      </c>
      <c r="C984" s="64">
        <f t="shared" si="18"/>
        <v>-3.9413968540876629E-2</v>
      </c>
    </row>
    <row r="985" spans="1:3" ht="15.75" thickBot="1">
      <c r="A985" s="1328">
        <v>42053</v>
      </c>
      <c r="B985" s="1329">
        <v>206</v>
      </c>
      <c r="C985" s="64">
        <f t="shared" si="18"/>
        <v>3.4571344065088723E-2</v>
      </c>
    </row>
    <row r="986" spans="1:3" ht="15.75" thickBot="1">
      <c r="A986" s="1326">
        <v>42054</v>
      </c>
      <c r="B986" s="1327">
        <v>201</v>
      </c>
      <c r="C986" s="64">
        <f t="shared" si="18"/>
        <v>-2.4571260730505317E-2</v>
      </c>
    </row>
    <row r="987" spans="1:3" ht="15.75" thickBot="1">
      <c r="A987" s="1328">
        <v>42055</v>
      </c>
      <c r="B987" s="1329">
        <v>197</v>
      </c>
      <c r="C987" s="64">
        <f t="shared" si="18"/>
        <v>-2.0101179321087265E-2</v>
      </c>
    </row>
    <row r="988" spans="1:3" ht="15.75" thickBot="1">
      <c r="A988" s="1326">
        <v>42058</v>
      </c>
      <c r="B988" s="1327">
        <v>202</v>
      </c>
      <c r="C988" s="64">
        <f t="shared" si="18"/>
        <v>2.506396866321622E-2</v>
      </c>
    </row>
    <row r="989" spans="1:3" ht="15.75" thickBot="1">
      <c r="A989" s="1328">
        <v>42059</v>
      </c>
      <c r="B989" s="1329">
        <v>204</v>
      </c>
      <c r="C989" s="64">
        <f t="shared" si="18"/>
        <v>9.8522964430116395E-3</v>
      </c>
    </row>
    <row r="990" spans="1:3" ht="15.75" thickBot="1">
      <c r="A990" s="1326">
        <v>42060</v>
      </c>
      <c r="B990" s="1327">
        <v>201</v>
      </c>
      <c r="C990" s="64">
        <f t="shared" si="18"/>
        <v>-1.4815085785140587E-2</v>
      </c>
    </row>
    <row r="991" spans="1:3" ht="15.75" thickBot="1">
      <c r="A991" s="1328">
        <v>42061</v>
      </c>
      <c r="B991" s="1329">
        <v>196</v>
      </c>
      <c r="C991" s="64">
        <f t="shared" si="18"/>
        <v>-2.5190248828558519E-2</v>
      </c>
    </row>
    <row r="992" spans="1:3" ht="15.75" thickBot="1">
      <c r="A992" s="1326">
        <v>42062</v>
      </c>
      <c r="B992" s="1327">
        <v>197</v>
      </c>
      <c r="C992" s="64">
        <f t="shared" si="18"/>
        <v>5.0890695074712281E-3</v>
      </c>
    </row>
    <row r="993" spans="1:3" ht="15.75" thickBot="1">
      <c r="A993" s="1328">
        <v>42065</v>
      </c>
      <c r="B993" s="1329">
        <v>191</v>
      </c>
      <c r="C993" s="64">
        <f t="shared" si="18"/>
        <v>-3.0930300691358614E-2</v>
      </c>
    </row>
    <row r="994" spans="1:3" ht="15.75" thickBot="1">
      <c r="A994" s="1326">
        <v>42066</v>
      </c>
      <c r="B994" s="1327">
        <v>195</v>
      </c>
      <c r="C994" s="64">
        <f t="shared" si="18"/>
        <v>2.0726130517116952E-2</v>
      </c>
    </row>
    <row r="995" spans="1:3" ht="15.75" thickBot="1">
      <c r="A995" s="1328">
        <v>42067</v>
      </c>
      <c r="B995" s="1329">
        <v>199</v>
      </c>
      <c r="C995" s="64">
        <f t="shared" si="18"/>
        <v>2.0305266160745523E-2</v>
      </c>
    </row>
    <row r="996" spans="1:3" ht="15.75" thickBot="1">
      <c r="A996" s="1326">
        <v>42068</v>
      </c>
      <c r="B996" s="1327">
        <v>205</v>
      </c>
      <c r="C996" s="64">
        <f t="shared" si="18"/>
        <v>2.9705154413915694E-2</v>
      </c>
    </row>
    <row r="997" spans="1:3" ht="15.75" thickBot="1">
      <c r="A997" s="1328">
        <v>42069</v>
      </c>
      <c r="B997" s="1329">
        <v>206</v>
      </c>
      <c r="C997" s="64">
        <f t="shared" si="18"/>
        <v>4.8661896511729063E-3</v>
      </c>
    </row>
    <row r="998" spans="1:3" ht="15.75" thickBot="1">
      <c r="A998" s="1326">
        <v>42072</v>
      </c>
      <c r="B998" s="1327">
        <v>212</v>
      </c>
      <c r="C998" s="64">
        <f t="shared" si="18"/>
        <v>2.871010588243136E-2</v>
      </c>
    </row>
    <row r="999" spans="1:3" ht="15.75" thickBot="1">
      <c r="A999" s="1328">
        <v>42073</v>
      </c>
      <c r="B999" s="1329">
        <v>224</v>
      </c>
      <c r="C999" s="64">
        <f t="shared" si="18"/>
        <v>5.5059777183027389E-2</v>
      </c>
    </row>
    <row r="1000" spans="1:3" ht="15.75" thickBot="1">
      <c r="A1000" s="1326">
        <v>42074</v>
      </c>
      <c r="B1000" s="1327">
        <v>223</v>
      </c>
      <c r="C1000" s="64">
        <f t="shared" si="18"/>
        <v>-4.4742803949210774E-3</v>
      </c>
    </row>
    <row r="1001" spans="1:3" ht="15.75" thickBot="1">
      <c r="A1001" s="1328">
        <v>42075</v>
      </c>
      <c r="B1001" s="1329">
        <v>218</v>
      </c>
      <c r="C1001" s="64">
        <f t="shared" si="18"/>
        <v>-2.2676708671029701E-2</v>
      </c>
    </row>
    <row r="1002" spans="1:3" ht="15.75" thickBot="1">
      <c r="A1002" s="1326">
        <v>42076</v>
      </c>
      <c r="B1002" s="1327">
        <v>225</v>
      </c>
      <c r="C1002" s="64">
        <f t="shared" si="18"/>
        <v>3.1605339415331044E-2</v>
      </c>
    </row>
    <row r="1003" spans="1:3" ht="15.75" thickBot="1">
      <c r="A1003" s="1328">
        <v>42079</v>
      </c>
      <c r="B1003" s="1329">
        <v>232</v>
      </c>
      <c r="C1003" s="64">
        <f t="shared" si="18"/>
        <v>3.0636969461889801E-2</v>
      </c>
    </row>
    <row r="1004" spans="1:3" ht="15.75" thickBot="1">
      <c r="A1004" s="1326">
        <v>42080</v>
      </c>
      <c r="B1004" s="1327">
        <v>236</v>
      </c>
      <c r="C1004" s="64">
        <f t="shared" si="18"/>
        <v>1.709443335930004E-2</v>
      </c>
    </row>
    <row r="1005" spans="1:3" ht="15.75" thickBot="1">
      <c r="A1005" s="1328">
        <v>42081</v>
      </c>
      <c r="B1005" s="1329">
        <v>236</v>
      </c>
      <c r="C1005" s="64">
        <f t="shared" si="18"/>
        <v>0</v>
      </c>
    </row>
    <row r="1006" spans="1:3" ht="15.75" thickBot="1">
      <c r="A1006" s="1326">
        <v>42082</v>
      </c>
      <c r="B1006" s="1327">
        <v>232</v>
      </c>
      <c r="C1006" s="64">
        <f t="shared" si="18"/>
        <v>-1.7094433359300068E-2</v>
      </c>
    </row>
    <row r="1007" spans="1:3" ht="15.75" thickBot="1">
      <c r="A1007" s="1328">
        <v>42083</v>
      </c>
      <c r="B1007" s="1329">
        <v>230</v>
      </c>
      <c r="C1007" s="64">
        <f t="shared" si="18"/>
        <v>-8.6580627431145415E-3</v>
      </c>
    </row>
    <row r="1008" spans="1:3" ht="15.75" thickBot="1">
      <c r="A1008" s="1326">
        <v>42086</v>
      </c>
      <c r="B1008" s="1327">
        <v>230</v>
      </c>
      <c r="C1008" s="64">
        <f t="shared" si="18"/>
        <v>0</v>
      </c>
    </row>
    <row r="1009" spans="1:3" ht="15.75" thickBot="1">
      <c r="A1009" s="1328">
        <v>42087</v>
      </c>
      <c r="B1009" s="1329">
        <v>229</v>
      </c>
      <c r="C1009" s="64">
        <f t="shared" si="18"/>
        <v>-4.3573053689557007E-3</v>
      </c>
    </row>
    <row r="1010" spans="1:3" ht="15.75" thickBot="1">
      <c r="A1010" s="1326">
        <v>42088</v>
      </c>
      <c r="B1010" s="1327">
        <v>225</v>
      </c>
      <c r="C1010" s="64">
        <f t="shared" si="18"/>
        <v>-1.7621601349819559E-2</v>
      </c>
    </row>
    <row r="1011" spans="1:3" ht="15.75" thickBot="1">
      <c r="A1011" s="1328">
        <v>42089</v>
      </c>
      <c r="B1011" s="1329">
        <v>220</v>
      </c>
      <c r="C1011" s="64">
        <f t="shared" si="18"/>
        <v>-2.2472855852058628E-2</v>
      </c>
    </row>
    <row r="1012" spans="1:3" ht="15.75" thickBot="1">
      <c r="A1012" s="1326">
        <v>42090</v>
      </c>
      <c r="B1012" s="1327">
        <v>223</v>
      </c>
      <c r="C1012" s="64">
        <f t="shared" si="18"/>
        <v>1.3544225107757253E-2</v>
      </c>
    </row>
    <row r="1013" spans="1:3" ht="15.75" thickBot="1">
      <c r="A1013" s="1328">
        <v>42093</v>
      </c>
      <c r="B1013" s="1329">
        <v>218</v>
      </c>
      <c r="C1013" s="64">
        <f t="shared" si="18"/>
        <v>-2.2676708671029701E-2</v>
      </c>
    </row>
    <row r="1014" spans="1:3" ht="15.75" thickBot="1">
      <c r="A1014" s="1326">
        <v>42094</v>
      </c>
      <c r="B1014" s="1327">
        <v>219</v>
      </c>
      <c r="C1014" s="64">
        <f t="shared" si="18"/>
        <v>4.5766670274118935E-3</v>
      </c>
    </row>
    <row r="1015" spans="1:3" ht="15.75" thickBot="1">
      <c r="A1015" s="1328">
        <v>42095</v>
      </c>
      <c r="B1015" s="1329">
        <v>221</v>
      </c>
      <c r="C1015" s="64">
        <f t="shared" si="18"/>
        <v>9.0909717012521048E-3</v>
      </c>
    </row>
    <row r="1016" spans="1:3" ht="15.75" thickBot="1">
      <c r="A1016" s="1326">
        <v>42096</v>
      </c>
      <c r="B1016" s="1327">
        <v>215</v>
      </c>
      <c r="C1016" s="64">
        <f t="shared" si="18"/>
        <v>-2.7524673390090033E-2</v>
      </c>
    </row>
    <row r="1017" spans="1:3" ht="15.75" thickBot="1">
      <c r="A1017" s="1328">
        <v>42097</v>
      </c>
      <c r="B1017" s="1329">
        <v>218</v>
      </c>
      <c r="C1017" s="64">
        <f t="shared" si="18"/>
        <v>1.3857034661426281E-2</v>
      </c>
    </row>
    <row r="1018" spans="1:3" ht="15.75" thickBot="1">
      <c r="A1018" s="1326">
        <v>42100</v>
      </c>
      <c r="B1018" s="1327">
        <v>210</v>
      </c>
      <c r="C1018" s="64">
        <f t="shared" si="18"/>
        <v>-3.7387532071620329E-2</v>
      </c>
    </row>
    <row r="1019" spans="1:3" ht="15.75" thickBot="1">
      <c r="A1019" s="1328">
        <v>42101</v>
      </c>
      <c r="B1019" s="1329">
        <v>214</v>
      </c>
      <c r="C1019" s="64">
        <f t="shared" si="18"/>
        <v>1.8868484304382736E-2</v>
      </c>
    </row>
    <row r="1020" spans="1:3" ht="15.75" thickBot="1">
      <c r="A1020" s="1326">
        <v>42102</v>
      </c>
      <c r="B1020" s="1327">
        <v>214</v>
      </c>
      <c r="C1020" s="64">
        <f t="shared" si="18"/>
        <v>0</v>
      </c>
    </row>
    <row r="1021" spans="1:3" ht="15.75" thickBot="1">
      <c r="A1021" s="1328">
        <v>42103</v>
      </c>
      <c r="B1021" s="1329">
        <v>211</v>
      </c>
      <c r="C1021" s="64">
        <f t="shared" si="18"/>
        <v>-1.4117881545784932E-2</v>
      </c>
    </row>
    <row r="1022" spans="1:3" ht="15.75" thickBot="1">
      <c r="A1022" s="1326">
        <v>42104</v>
      </c>
      <c r="B1022" s="1327">
        <v>212</v>
      </c>
      <c r="C1022" s="64">
        <f t="shared" si="18"/>
        <v>4.7281411959458957E-3</v>
      </c>
    </row>
    <row r="1023" spans="1:3" ht="15.75" thickBot="1">
      <c r="A1023" s="1328">
        <v>42107</v>
      </c>
      <c r="B1023" s="1329">
        <v>212</v>
      </c>
      <c r="C1023" s="64">
        <f t="shared" si="18"/>
        <v>0</v>
      </c>
    </row>
    <row r="1024" spans="1:3" ht="15.75" thickBot="1">
      <c r="A1024" s="1326">
        <v>42108</v>
      </c>
      <c r="B1024" s="1327">
        <v>214</v>
      </c>
      <c r="C1024" s="64">
        <f t="shared" si="18"/>
        <v>9.3897403498391374E-3</v>
      </c>
    </row>
    <row r="1025" spans="1:3" ht="15.75" thickBot="1">
      <c r="A1025" s="1328">
        <v>42109</v>
      </c>
      <c r="B1025" s="1329">
        <v>214</v>
      </c>
      <c r="C1025" s="64">
        <f t="shared" si="18"/>
        <v>0</v>
      </c>
    </row>
    <row r="1026" spans="1:3" ht="15.75" thickBot="1">
      <c r="A1026" s="1326">
        <v>42110</v>
      </c>
      <c r="B1026" s="1327">
        <v>217</v>
      </c>
      <c r="C1026" s="64">
        <f t="shared" si="18"/>
        <v>1.3921338518608014E-2</v>
      </c>
    </row>
    <row r="1027" spans="1:3" ht="15.75" thickBot="1">
      <c r="A1027" s="1328">
        <v>42111</v>
      </c>
      <c r="B1027" s="1329">
        <v>222</v>
      </c>
      <c r="C1027" s="64">
        <f t="shared" si="18"/>
        <v>2.2780028331819906E-2</v>
      </c>
    </row>
    <row r="1028" spans="1:3" ht="15.75" thickBot="1">
      <c r="A1028" s="1326">
        <v>42114</v>
      </c>
      <c r="B1028" s="1327">
        <v>220</v>
      </c>
      <c r="C1028" s="64">
        <f t="shared" ref="C1028:C1091" si="19">+LN(B1028/B1027)</f>
        <v>-9.0498355199179273E-3</v>
      </c>
    </row>
    <row r="1029" spans="1:3" ht="15.75" thickBot="1">
      <c r="A1029" s="1328">
        <v>42115</v>
      </c>
      <c r="B1029" s="1329">
        <v>214</v>
      </c>
      <c r="C1029" s="64">
        <f t="shared" si="19"/>
        <v>-2.7651531330510008E-2</v>
      </c>
    </row>
    <row r="1030" spans="1:3" ht="15.75" thickBot="1">
      <c r="A1030" s="1326">
        <v>42116</v>
      </c>
      <c r="B1030" s="1327">
        <v>208</v>
      </c>
      <c r="C1030" s="64">
        <f t="shared" si="19"/>
        <v>-2.8437935320533514E-2</v>
      </c>
    </row>
    <row r="1031" spans="1:3" ht="15.75" thickBot="1">
      <c r="A1031" s="1328">
        <v>42117</v>
      </c>
      <c r="B1031" s="1329">
        <v>209</v>
      </c>
      <c r="C1031" s="64">
        <f t="shared" si="19"/>
        <v>4.7961722634930135E-3</v>
      </c>
    </row>
    <row r="1032" spans="1:3" ht="15.75" thickBot="1">
      <c r="A1032" s="1326">
        <v>42118</v>
      </c>
      <c r="B1032" s="1327">
        <v>208</v>
      </c>
      <c r="C1032" s="64">
        <f t="shared" si="19"/>
        <v>-4.7961722634930551E-3</v>
      </c>
    </row>
    <row r="1033" spans="1:3" ht="15.75" thickBot="1">
      <c r="A1033" s="1328">
        <v>42121</v>
      </c>
      <c r="B1033" s="1329">
        <v>209</v>
      </c>
      <c r="C1033" s="64">
        <f t="shared" si="19"/>
        <v>4.7961722634930135E-3</v>
      </c>
    </row>
    <row r="1034" spans="1:3" ht="15.75" thickBot="1">
      <c r="A1034" s="1326">
        <v>42122</v>
      </c>
      <c r="B1034" s="1327">
        <v>204</v>
      </c>
      <c r="C1034" s="64">
        <f t="shared" si="19"/>
        <v>-2.4214258120594627E-2</v>
      </c>
    </row>
    <row r="1035" spans="1:3" ht="15.75" thickBot="1">
      <c r="A1035" s="1328">
        <v>42123</v>
      </c>
      <c r="B1035" s="1329">
        <v>204</v>
      </c>
      <c r="C1035" s="64">
        <f t="shared" si="19"/>
        <v>0</v>
      </c>
    </row>
    <row r="1036" spans="1:3" ht="15.75" thickBot="1">
      <c r="A1036" s="1326">
        <v>42124</v>
      </c>
      <c r="B1036" s="1327">
        <v>210</v>
      </c>
      <c r="C1036" s="64">
        <f t="shared" si="19"/>
        <v>2.8987536873252187E-2</v>
      </c>
    </row>
    <row r="1037" spans="1:3" ht="15.75" thickBot="1">
      <c r="A1037" s="1328">
        <v>42125</v>
      </c>
      <c r="B1037" s="1329">
        <v>209</v>
      </c>
      <c r="C1037" s="64">
        <f t="shared" si="19"/>
        <v>-4.7732787526576599E-3</v>
      </c>
    </row>
    <row r="1038" spans="1:3" ht="15.75" thickBot="1">
      <c r="A1038" s="1326">
        <v>42128</v>
      </c>
      <c r="B1038" s="1327">
        <v>205</v>
      </c>
      <c r="C1038" s="64">
        <f t="shared" si="19"/>
        <v>-1.9324272826402814E-2</v>
      </c>
    </row>
    <row r="1039" spans="1:3" ht="15.75" thickBot="1">
      <c r="A1039" s="1328">
        <v>42129</v>
      </c>
      <c r="B1039" s="1329">
        <v>203</v>
      </c>
      <c r="C1039" s="64">
        <f t="shared" si="19"/>
        <v>-9.8040000966208556E-3</v>
      </c>
    </row>
    <row r="1040" spans="1:3" ht="15.75" thickBot="1">
      <c r="A1040" s="1326">
        <v>42130</v>
      </c>
      <c r="B1040" s="1327">
        <v>197</v>
      </c>
      <c r="C1040" s="64">
        <f t="shared" si="19"/>
        <v>-3.0002250303798789E-2</v>
      </c>
    </row>
    <row r="1041" spans="1:3" ht="15.75" thickBot="1">
      <c r="A1041" s="1328">
        <v>42131</v>
      </c>
      <c r="B1041" s="1329">
        <v>206</v>
      </c>
      <c r="C1041" s="64">
        <f t="shared" si="19"/>
        <v>4.4672440051592599E-2</v>
      </c>
    </row>
    <row r="1042" spans="1:3" ht="15.75" thickBot="1">
      <c r="A1042" s="1326">
        <v>42132</v>
      </c>
      <c r="B1042" s="1327">
        <v>202</v>
      </c>
      <c r="C1042" s="64">
        <f t="shared" si="19"/>
        <v>-1.9608471388376313E-2</v>
      </c>
    </row>
    <row r="1043" spans="1:3" ht="15.75" thickBot="1">
      <c r="A1043" s="1328">
        <v>42135</v>
      </c>
      <c r="B1043" s="1329">
        <v>198</v>
      </c>
      <c r="C1043" s="64">
        <f t="shared" si="19"/>
        <v>-2.0000666706669543E-2</v>
      </c>
    </row>
    <row r="1044" spans="1:3" ht="15.75" thickBot="1">
      <c r="A1044" s="1326">
        <v>42136</v>
      </c>
      <c r="B1044" s="1327">
        <v>206</v>
      </c>
      <c r="C1044" s="64">
        <f t="shared" si="19"/>
        <v>3.9609138095045883E-2</v>
      </c>
    </row>
    <row r="1045" spans="1:3" ht="15.75" thickBot="1">
      <c r="A1045" s="1328">
        <v>42137</v>
      </c>
      <c r="B1045" s="1329">
        <v>203</v>
      </c>
      <c r="C1045" s="64">
        <f t="shared" si="19"/>
        <v>-1.4670189747793742E-2</v>
      </c>
    </row>
    <row r="1046" spans="1:3" ht="15.75" thickBot="1">
      <c r="A1046" s="1326">
        <v>42138</v>
      </c>
      <c r="B1046" s="1327">
        <v>206</v>
      </c>
      <c r="C1046" s="64">
        <f t="shared" si="19"/>
        <v>1.4670189747793839E-2</v>
      </c>
    </row>
    <row r="1047" spans="1:3" ht="15.75" thickBot="1">
      <c r="A1047" s="1328">
        <v>42139</v>
      </c>
      <c r="B1047" s="1329">
        <v>209</v>
      </c>
      <c r="C1047" s="64">
        <f t="shared" si="19"/>
        <v>1.4458083175229917E-2</v>
      </c>
    </row>
    <row r="1048" spans="1:3" ht="15.75" thickBot="1">
      <c r="A1048" s="1326">
        <v>42142</v>
      </c>
      <c r="B1048" s="1327">
        <v>203</v>
      </c>
      <c r="C1048" s="64">
        <f t="shared" si="19"/>
        <v>-2.9128272923023713E-2</v>
      </c>
    </row>
    <row r="1049" spans="1:3" ht="15.75" thickBot="1">
      <c r="A1049" s="1328">
        <v>42143</v>
      </c>
      <c r="B1049" s="1329">
        <v>206</v>
      </c>
      <c r="C1049" s="64">
        <f t="shared" si="19"/>
        <v>1.4670189747793839E-2</v>
      </c>
    </row>
    <row r="1050" spans="1:3" ht="15.75" thickBot="1">
      <c r="A1050" s="1326">
        <v>42144</v>
      </c>
      <c r="B1050" s="1327">
        <v>205</v>
      </c>
      <c r="C1050" s="64">
        <f t="shared" si="19"/>
        <v>-4.8661896511728994E-3</v>
      </c>
    </row>
    <row r="1051" spans="1:3" ht="15.75" thickBot="1">
      <c r="A1051" s="1328">
        <v>42145</v>
      </c>
      <c r="B1051" s="1329">
        <v>204</v>
      </c>
      <c r="C1051" s="64">
        <f t="shared" si="19"/>
        <v>-4.8899852941917919E-3</v>
      </c>
    </row>
    <row r="1052" spans="1:3" ht="15.75" thickBot="1">
      <c r="A1052" s="1326">
        <v>42146</v>
      </c>
      <c r="B1052" s="1327">
        <v>204</v>
      </c>
      <c r="C1052" s="64">
        <f t="shared" si="19"/>
        <v>0</v>
      </c>
    </row>
    <row r="1053" spans="1:3" ht="15.75" thickBot="1">
      <c r="A1053" s="1328">
        <v>42149</v>
      </c>
      <c r="B1053" s="1329">
        <v>204</v>
      </c>
      <c r="C1053" s="64">
        <f t="shared" si="19"/>
        <v>0</v>
      </c>
    </row>
    <row r="1054" spans="1:3" ht="15.75" thickBot="1">
      <c r="A1054" s="1326">
        <v>42150</v>
      </c>
      <c r="B1054" s="1327">
        <v>210</v>
      </c>
      <c r="C1054" s="64">
        <f t="shared" si="19"/>
        <v>2.8987536873252187E-2</v>
      </c>
    </row>
    <row r="1055" spans="1:3" ht="15.75" thickBot="1">
      <c r="A1055" s="1328">
        <v>42151</v>
      </c>
      <c r="B1055" s="1329">
        <v>213</v>
      </c>
      <c r="C1055" s="64">
        <f t="shared" si="19"/>
        <v>1.4184634991956381E-2</v>
      </c>
    </row>
    <row r="1056" spans="1:3" ht="15.75" thickBot="1">
      <c r="A1056" s="1326">
        <v>42152</v>
      </c>
      <c r="B1056" s="1327">
        <v>216</v>
      </c>
      <c r="C1056" s="64">
        <f t="shared" si="19"/>
        <v>1.398624197473987E-2</v>
      </c>
    </row>
    <row r="1057" spans="1:3" ht="15.75" thickBot="1">
      <c r="A1057" s="1328">
        <v>42153</v>
      </c>
      <c r="B1057" s="1329">
        <v>218</v>
      </c>
      <c r="C1057" s="64">
        <f t="shared" si="19"/>
        <v>9.2166551049240476E-3</v>
      </c>
    </row>
    <row r="1058" spans="1:3" ht="15.75" thickBot="1">
      <c r="A1058" s="1326">
        <v>42156</v>
      </c>
      <c r="B1058" s="1327">
        <v>215</v>
      </c>
      <c r="C1058" s="64">
        <f t="shared" si="19"/>
        <v>-1.3857034661426241E-2</v>
      </c>
    </row>
    <row r="1059" spans="1:3" ht="15.75" thickBot="1">
      <c r="A1059" s="1328">
        <v>42157</v>
      </c>
      <c r="B1059" s="1329">
        <v>210</v>
      </c>
      <c r="C1059" s="64">
        <f t="shared" si="19"/>
        <v>-2.3530497410194161E-2</v>
      </c>
    </row>
    <row r="1060" spans="1:3" ht="15.75" thickBot="1">
      <c r="A1060" s="1326">
        <v>42158</v>
      </c>
      <c r="B1060" s="1327">
        <v>209</v>
      </c>
      <c r="C1060" s="64">
        <f t="shared" si="19"/>
        <v>-4.7732787526576599E-3</v>
      </c>
    </row>
    <row r="1061" spans="1:3" ht="15.75" thickBot="1">
      <c r="A1061" s="1328">
        <v>42159</v>
      </c>
      <c r="B1061" s="1329">
        <v>220</v>
      </c>
      <c r="C1061" s="64">
        <f t="shared" si="19"/>
        <v>5.1293294387550481E-2</v>
      </c>
    </row>
    <row r="1062" spans="1:3" ht="15.75" thickBot="1">
      <c r="A1062" s="1326">
        <v>42160</v>
      </c>
      <c r="B1062" s="1327">
        <v>217</v>
      </c>
      <c r="C1062" s="64">
        <f t="shared" si="19"/>
        <v>-1.373019281190202E-2</v>
      </c>
    </row>
    <row r="1063" spans="1:3" ht="15.75" thickBot="1">
      <c r="A1063" s="1328">
        <v>42163</v>
      </c>
      <c r="B1063" s="1329">
        <v>222</v>
      </c>
      <c r="C1063" s="64">
        <f t="shared" si="19"/>
        <v>2.2780028331819906E-2</v>
      </c>
    </row>
    <row r="1064" spans="1:3" ht="15.75" thickBot="1">
      <c r="A1064" s="1326">
        <v>42164</v>
      </c>
      <c r="B1064" s="1327">
        <v>225</v>
      </c>
      <c r="C1064" s="64">
        <f t="shared" si="19"/>
        <v>1.3423020332140771E-2</v>
      </c>
    </row>
    <row r="1065" spans="1:3" ht="15.75" thickBot="1">
      <c r="A1065" s="1328">
        <v>42165</v>
      </c>
      <c r="B1065" s="1329">
        <v>226</v>
      </c>
      <c r="C1065" s="64">
        <f t="shared" si="19"/>
        <v>4.4345970678657748E-3</v>
      </c>
    </row>
    <row r="1066" spans="1:3" ht="15.75" thickBot="1">
      <c r="A1066" s="1326">
        <v>42166</v>
      </c>
      <c r="B1066" s="1327">
        <v>224</v>
      </c>
      <c r="C1066" s="64">
        <f t="shared" si="19"/>
        <v>-8.8889474172460393E-3</v>
      </c>
    </row>
    <row r="1067" spans="1:3" ht="15.75" thickBot="1">
      <c r="A1067" s="1328">
        <v>42167</v>
      </c>
      <c r="B1067" s="1329">
        <v>223</v>
      </c>
      <c r="C1067" s="64">
        <f t="shared" si="19"/>
        <v>-4.4742803949210774E-3</v>
      </c>
    </row>
    <row r="1068" spans="1:3" ht="15.75" thickBot="1">
      <c r="A1068" s="1326">
        <v>42170</v>
      </c>
      <c r="B1068" s="1327">
        <v>227</v>
      </c>
      <c r="C1068" s="64">
        <f t="shared" si="19"/>
        <v>1.7778246021283969E-2</v>
      </c>
    </row>
    <row r="1069" spans="1:3" ht="15.75" thickBot="1">
      <c r="A1069" s="1328">
        <v>42171</v>
      </c>
      <c r="B1069" s="1329">
        <v>231</v>
      </c>
      <c r="C1069" s="64">
        <f t="shared" si="19"/>
        <v>1.746769304039078E-2</v>
      </c>
    </row>
    <row r="1070" spans="1:3" ht="15.75" thickBot="1">
      <c r="A1070" s="1326">
        <v>42172</v>
      </c>
      <c r="B1070" s="1327">
        <v>233</v>
      </c>
      <c r="C1070" s="64">
        <f t="shared" si="19"/>
        <v>8.6207430439069546E-3</v>
      </c>
    </row>
    <row r="1071" spans="1:3" ht="15.75" thickBot="1">
      <c r="A1071" s="1328">
        <v>42173</v>
      </c>
      <c r="B1071" s="1329">
        <v>220</v>
      </c>
      <c r="C1071" s="64">
        <f t="shared" si="19"/>
        <v>-5.7410907213339045E-2</v>
      </c>
    </row>
    <row r="1072" spans="1:3" ht="15.75" thickBot="1">
      <c r="A1072" s="1326">
        <v>42174</v>
      </c>
      <c r="B1072" s="1327">
        <v>224</v>
      </c>
      <c r="C1072" s="64">
        <f t="shared" si="19"/>
        <v>1.8018505502678212E-2</v>
      </c>
    </row>
    <row r="1073" spans="1:3" ht="15.75" thickBot="1">
      <c r="A1073" s="1328">
        <v>42177</v>
      </c>
      <c r="B1073" s="1329">
        <v>220</v>
      </c>
      <c r="C1073" s="64">
        <f t="shared" si="19"/>
        <v>-1.8018505502678365E-2</v>
      </c>
    </row>
    <row r="1074" spans="1:3" ht="15.75" thickBot="1">
      <c r="A1074" s="1326">
        <v>42178</v>
      </c>
      <c r="B1074" s="1327">
        <v>214</v>
      </c>
      <c r="C1074" s="64">
        <f t="shared" si="19"/>
        <v>-2.7651531330510008E-2</v>
      </c>
    </row>
    <row r="1075" spans="1:3" ht="15.75" thickBot="1">
      <c r="A1075" s="1328">
        <v>42179</v>
      </c>
      <c r="B1075" s="1329">
        <v>218</v>
      </c>
      <c r="C1075" s="64">
        <f t="shared" si="19"/>
        <v>1.8519047767237531E-2</v>
      </c>
    </row>
    <row r="1076" spans="1:3" ht="15.75" thickBot="1">
      <c r="A1076" s="1326">
        <v>42180</v>
      </c>
      <c r="B1076" s="1327">
        <v>221</v>
      </c>
      <c r="C1076" s="64">
        <f t="shared" si="19"/>
        <v>1.3667638728663835E-2</v>
      </c>
    </row>
    <row r="1077" spans="1:3" ht="15.75" thickBot="1">
      <c r="A1077" s="1328">
        <v>42181</v>
      </c>
      <c r="B1077" s="1329">
        <v>218</v>
      </c>
      <c r="C1077" s="64">
        <f t="shared" si="19"/>
        <v>-1.3667638728663757E-2</v>
      </c>
    </row>
    <row r="1078" spans="1:3" ht="15.75" thickBot="1">
      <c r="A1078" s="1326">
        <v>42184</v>
      </c>
      <c r="B1078" s="1327">
        <v>232</v>
      </c>
      <c r="C1078" s="64">
        <f t="shared" si="19"/>
        <v>6.2242308877221E-2</v>
      </c>
    </row>
    <row r="1079" spans="1:3" ht="15.75" thickBot="1">
      <c r="A1079" s="1328">
        <v>42185</v>
      </c>
      <c r="B1079" s="1329">
        <v>229</v>
      </c>
      <c r="C1079" s="64">
        <f t="shared" si="19"/>
        <v>-1.3015368112070361E-2</v>
      </c>
    </row>
    <row r="1080" spans="1:3" ht="15.75" thickBot="1">
      <c r="A1080" s="1326">
        <v>42186</v>
      </c>
      <c r="B1080" s="1327">
        <v>221</v>
      </c>
      <c r="C1080" s="64">
        <f t="shared" si="19"/>
        <v>-3.5559302036486801E-2</v>
      </c>
    </row>
    <row r="1081" spans="1:3" ht="15.75" thickBot="1">
      <c r="A1081" s="1328">
        <v>42187</v>
      </c>
      <c r="B1081" s="1329">
        <v>220</v>
      </c>
      <c r="C1081" s="64">
        <f t="shared" si="19"/>
        <v>-4.5351551653912622E-3</v>
      </c>
    </row>
    <row r="1082" spans="1:3" ht="15.75" thickBot="1">
      <c r="A1082" s="1326">
        <v>42188</v>
      </c>
      <c r="B1082" s="1327">
        <v>220</v>
      </c>
      <c r="C1082" s="64">
        <f t="shared" si="19"/>
        <v>0</v>
      </c>
    </row>
    <row r="1083" spans="1:3" ht="15.75" thickBot="1">
      <c r="A1083" s="1328">
        <v>42191</v>
      </c>
      <c r="B1083" s="1329">
        <v>231</v>
      </c>
      <c r="C1083" s="64">
        <f t="shared" si="19"/>
        <v>4.8790164169432049E-2</v>
      </c>
    </row>
    <row r="1084" spans="1:3" ht="15.75" thickBot="1">
      <c r="A1084" s="1326">
        <v>42192</v>
      </c>
      <c r="B1084" s="1327">
        <v>238</v>
      </c>
      <c r="C1084" s="64">
        <f t="shared" si="19"/>
        <v>2.9852963149681128E-2</v>
      </c>
    </row>
    <row r="1085" spans="1:3" ht="15.75" thickBot="1">
      <c r="A1085" s="1328">
        <v>42193</v>
      </c>
      <c r="B1085" s="1329">
        <v>243</v>
      </c>
      <c r="C1085" s="64">
        <f t="shared" si="19"/>
        <v>2.0790769669073689E-2</v>
      </c>
    </row>
    <row r="1086" spans="1:3" ht="15.75" thickBot="1">
      <c r="A1086" s="1326">
        <v>42194</v>
      </c>
      <c r="B1086" s="1327">
        <v>237</v>
      </c>
      <c r="C1086" s="64">
        <f t="shared" si="19"/>
        <v>-2.500130220541727E-2</v>
      </c>
    </row>
    <row r="1087" spans="1:3" ht="15.75" thickBot="1">
      <c r="A1087" s="1328">
        <v>42195</v>
      </c>
      <c r="B1087" s="1329">
        <v>228</v>
      </c>
      <c r="C1087" s="64">
        <f t="shared" si="19"/>
        <v>-3.8714512180690393E-2</v>
      </c>
    </row>
    <row r="1088" spans="1:3" ht="15.75" thickBot="1">
      <c r="A1088" s="1326">
        <v>42198</v>
      </c>
      <c r="B1088" s="1327">
        <v>226</v>
      </c>
      <c r="C1088" s="64">
        <f t="shared" si="19"/>
        <v>-8.8106296821549197E-3</v>
      </c>
    </row>
    <row r="1089" spans="1:3" ht="15.75" thickBot="1">
      <c r="A1089" s="1328">
        <v>42199</v>
      </c>
      <c r="B1089" s="1329">
        <v>227</v>
      </c>
      <c r="C1089" s="64">
        <f t="shared" si="19"/>
        <v>4.4150182091166933E-3</v>
      </c>
    </row>
    <row r="1090" spans="1:3" ht="15.75" thickBot="1">
      <c r="A1090" s="1326">
        <v>42200</v>
      </c>
      <c r="B1090" s="1327">
        <v>234</v>
      </c>
      <c r="C1090" s="64">
        <f t="shared" si="19"/>
        <v>3.0371097876298769E-2</v>
      </c>
    </row>
    <row r="1091" spans="1:3" ht="15.75" thickBot="1">
      <c r="A1091" s="1328">
        <v>42201</v>
      </c>
      <c r="B1091" s="1329">
        <v>233</v>
      </c>
      <c r="C1091" s="64">
        <f t="shared" si="19"/>
        <v>-4.2826617920008478E-3</v>
      </c>
    </row>
    <row r="1092" spans="1:3" ht="15.75" thickBot="1">
      <c r="A1092" s="1326">
        <v>42202</v>
      </c>
      <c r="B1092" s="1327">
        <v>234</v>
      </c>
      <c r="C1092" s="64">
        <f t="shared" ref="C1092:C1155" si="20">+LN(B1092/B1091)</f>
        <v>4.2826617920009493E-3</v>
      </c>
    </row>
    <row r="1093" spans="1:3" ht="15.75" thickBot="1">
      <c r="A1093" s="1328">
        <v>42205</v>
      </c>
      <c r="B1093" s="1329">
        <v>234</v>
      </c>
      <c r="C1093" s="64">
        <f t="shared" si="20"/>
        <v>0</v>
      </c>
    </row>
    <row r="1094" spans="1:3" ht="15.75" thickBot="1">
      <c r="A1094" s="1326">
        <v>42206</v>
      </c>
      <c r="B1094" s="1327">
        <v>238</v>
      </c>
      <c r="C1094" s="64">
        <f t="shared" si="20"/>
        <v>1.6949558313773205E-2</v>
      </c>
    </row>
    <row r="1095" spans="1:3" ht="15.75" thickBot="1">
      <c r="A1095" s="1328">
        <v>42207</v>
      </c>
      <c r="B1095" s="1329">
        <v>243</v>
      </c>
      <c r="C1095" s="64">
        <f t="shared" si="20"/>
        <v>2.0790769669073689E-2</v>
      </c>
    </row>
    <row r="1096" spans="1:3" ht="15.75" thickBot="1">
      <c r="A1096" s="1326">
        <v>42208</v>
      </c>
      <c r="B1096" s="1327">
        <v>253</v>
      </c>
      <c r="C1096" s="64">
        <f t="shared" si="20"/>
        <v>4.0328045386971809E-2</v>
      </c>
    </row>
    <row r="1097" spans="1:3" ht="15.75" thickBot="1">
      <c r="A1097" s="1328">
        <v>42209</v>
      </c>
      <c r="B1097" s="1329">
        <v>255</v>
      </c>
      <c r="C1097" s="64">
        <f t="shared" si="20"/>
        <v>7.8740564309058656E-3</v>
      </c>
    </row>
    <row r="1098" spans="1:3" ht="15.75" thickBot="1">
      <c r="A1098" s="1326">
        <v>42212</v>
      </c>
      <c r="B1098" s="1327">
        <v>264</v>
      </c>
      <c r="C1098" s="64">
        <f t="shared" si="20"/>
        <v>3.4685557987890109E-2</v>
      </c>
    </row>
    <row r="1099" spans="1:3" ht="15.75" thickBot="1">
      <c r="A1099" s="1328">
        <v>42213</v>
      </c>
      <c r="B1099" s="1329">
        <v>260</v>
      </c>
      <c r="C1099" s="64">
        <f t="shared" si="20"/>
        <v>-1.5267472130788421E-2</v>
      </c>
    </row>
    <row r="1100" spans="1:3" ht="15.75" thickBot="1">
      <c r="A1100" s="1326">
        <v>42214</v>
      </c>
      <c r="B1100" s="1327">
        <v>250</v>
      </c>
      <c r="C1100" s="64">
        <f t="shared" si="20"/>
        <v>-3.9220713153281267E-2</v>
      </c>
    </row>
    <row r="1101" spans="1:3" ht="15.75" thickBot="1">
      <c r="A1101" s="1328">
        <v>42215</v>
      </c>
      <c r="B1101" s="1329">
        <v>243</v>
      </c>
      <c r="C1101" s="64">
        <f t="shared" si="20"/>
        <v>-2.8399474521698002E-2</v>
      </c>
    </row>
    <row r="1102" spans="1:3" ht="15.75" thickBot="1">
      <c r="A1102" s="1326">
        <v>42216</v>
      </c>
      <c r="B1102" s="1327">
        <v>246</v>
      </c>
      <c r="C1102" s="64">
        <f t="shared" si="20"/>
        <v>1.2270092591814401E-2</v>
      </c>
    </row>
    <row r="1103" spans="1:3" ht="15.75" thickBot="1">
      <c r="A1103" s="1328">
        <v>42219</v>
      </c>
      <c r="B1103" s="1329">
        <v>255</v>
      </c>
      <c r="C1103" s="64">
        <f t="shared" si="20"/>
        <v>3.593200922606337E-2</v>
      </c>
    </row>
    <row r="1104" spans="1:3" ht="15.75" thickBot="1">
      <c r="A1104" s="1326">
        <v>42220</v>
      </c>
      <c r="B1104" s="1327">
        <v>252</v>
      </c>
      <c r="C1104" s="64">
        <f t="shared" si="20"/>
        <v>-1.1834457647002796E-2</v>
      </c>
    </row>
    <row r="1105" spans="1:3" ht="15.75" thickBot="1">
      <c r="A1105" s="1328">
        <v>42221</v>
      </c>
      <c r="B1105" s="1329">
        <v>245</v>
      </c>
      <c r="C1105" s="64">
        <f t="shared" si="20"/>
        <v>-2.8170876966696335E-2</v>
      </c>
    </row>
    <row r="1106" spans="1:3" ht="15.75" thickBot="1">
      <c r="A1106" s="1326">
        <v>42222</v>
      </c>
      <c r="B1106" s="1327">
        <v>256</v>
      </c>
      <c r="C1106" s="64">
        <f t="shared" si="20"/>
        <v>4.3919233934835579E-2</v>
      </c>
    </row>
    <row r="1107" spans="1:3" ht="15.75" thickBot="1">
      <c r="A1107" s="1328">
        <v>42223</v>
      </c>
      <c r="B1107" s="1329">
        <v>260</v>
      </c>
      <c r="C1107" s="64">
        <f t="shared" si="20"/>
        <v>1.5504186535965254E-2</v>
      </c>
    </row>
    <row r="1108" spans="1:3" ht="15.75" thickBot="1">
      <c r="A1108" s="1326">
        <v>42226</v>
      </c>
      <c r="B1108" s="1327">
        <v>259</v>
      </c>
      <c r="C1108" s="64">
        <f t="shared" si="20"/>
        <v>-3.8535693159899662E-3</v>
      </c>
    </row>
    <row r="1109" spans="1:3" ht="15.75" thickBot="1">
      <c r="A1109" s="1328">
        <v>42227</v>
      </c>
      <c r="B1109" s="1329">
        <v>272</v>
      </c>
      <c r="C1109" s="64">
        <f t="shared" si="20"/>
        <v>4.8974004596459474E-2</v>
      </c>
    </row>
    <row r="1110" spans="1:3" ht="15.75" thickBot="1">
      <c r="A1110" s="1326">
        <v>42228</v>
      </c>
      <c r="B1110" s="1327">
        <v>266</v>
      </c>
      <c r="C1110" s="64">
        <f t="shared" si="20"/>
        <v>-2.2305757514298277E-2</v>
      </c>
    </row>
    <row r="1111" spans="1:3" ht="15.75" thickBot="1">
      <c r="A1111" s="1328">
        <v>42229</v>
      </c>
      <c r="B1111" s="1329">
        <v>262</v>
      </c>
      <c r="C1111" s="64">
        <f t="shared" si="20"/>
        <v>-1.515180502060222E-2</v>
      </c>
    </row>
    <row r="1112" spans="1:3" ht="15.75" thickBot="1">
      <c r="A1112" s="1326">
        <v>42230</v>
      </c>
      <c r="B1112" s="1327">
        <v>263</v>
      </c>
      <c r="C1112" s="64">
        <f t="shared" si="20"/>
        <v>3.8095284166676487E-3</v>
      </c>
    </row>
    <row r="1113" spans="1:3" ht="15.75" thickBot="1">
      <c r="A1113" s="1328">
        <v>42233</v>
      </c>
      <c r="B1113" s="1329">
        <v>266</v>
      </c>
      <c r="C1113" s="64">
        <f t="shared" si="20"/>
        <v>1.134227660393451E-2</v>
      </c>
    </row>
    <row r="1114" spans="1:3" ht="15.75" thickBot="1">
      <c r="A1114" s="1326">
        <v>42234</v>
      </c>
      <c r="B1114" s="1327">
        <v>265</v>
      </c>
      <c r="C1114" s="64">
        <f t="shared" si="20"/>
        <v>-3.7664827954768934E-3</v>
      </c>
    </row>
    <row r="1115" spans="1:3" ht="15.75" thickBot="1">
      <c r="A1115" s="1328">
        <v>42235</v>
      </c>
      <c r="B1115" s="1329">
        <v>278</v>
      </c>
      <c r="C1115" s="64">
        <f t="shared" si="20"/>
        <v>4.7891287704414851E-2</v>
      </c>
    </row>
    <row r="1116" spans="1:3" ht="15.75" thickBot="1">
      <c r="A1116" s="1326">
        <v>42236</v>
      </c>
      <c r="B1116" s="1327">
        <v>284</v>
      </c>
      <c r="C1116" s="64">
        <f t="shared" si="20"/>
        <v>2.1353124470569061E-2</v>
      </c>
    </row>
    <row r="1117" spans="1:3" ht="15.75" thickBot="1">
      <c r="A1117" s="1328">
        <v>42237</v>
      </c>
      <c r="B1117" s="1329">
        <v>293</v>
      </c>
      <c r="C1117" s="64">
        <f t="shared" si="20"/>
        <v>3.1198370855861333E-2</v>
      </c>
    </row>
    <row r="1118" spans="1:3" ht="15.75" thickBot="1">
      <c r="A1118" s="1326">
        <v>42240</v>
      </c>
      <c r="B1118" s="1327">
        <v>307</v>
      </c>
      <c r="C1118" s="64">
        <f t="shared" si="20"/>
        <v>4.6675138570129893E-2</v>
      </c>
    </row>
    <row r="1119" spans="1:3" ht="15.75" thickBot="1">
      <c r="A1119" s="1328">
        <v>42241</v>
      </c>
      <c r="B1119" s="1329">
        <v>296</v>
      </c>
      <c r="C1119" s="64">
        <f t="shared" si="20"/>
        <v>-3.6488293263136795E-2</v>
      </c>
    </row>
    <row r="1120" spans="1:3" ht="15.75" thickBot="1">
      <c r="A1120" s="1326">
        <v>42242</v>
      </c>
      <c r="B1120" s="1327">
        <v>298</v>
      </c>
      <c r="C1120" s="64">
        <f t="shared" si="20"/>
        <v>6.7340321813441194E-3</v>
      </c>
    </row>
    <row r="1121" spans="1:3" ht="15.75" thickBot="1">
      <c r="A1121" s="1328">
        <v>42243</v>
      </c>
      <c r="B1121" s="1329">
        <v>285</v>
      </c>
      <c r="C1121" s="64">
        <f t="shared" si="20"/>
        <v>-4.4604306236753918E-2</v>
      </c>
    </row>
    <row r="1122" spans="1:3" ht="15.75" thickBot="1">
      <c r="A1122" s="1326">
        <v>42244</v>
      </c>
      <c r="B1122" s="1327">
        <v>280</v>
      </c>
      <c r="C1122" s="64">
        <f t="shared" si="20"/>
        <v>-1.7699577099400975E-2</v>
      </c>
    </row>
    <row r="1123" spans="1:3" ht="15.75" thickBot="1">
      <c r="A1123" s="1328">
        <v>42247</v>
      </c>
      <c r="B1123" s="1329">
        <v>274</v>
      </c>
      <c r="C1123" s="64">
        <f t="shared" si="20"/>
        <v>-2.1661496781179419E-2</v>
      </c>
    </row>
    <row r="1124" spans="1:3" ht="15.75" thickBot="1">
      <c r="A1124" s="1326">
        <v>42248</v>
      </c>
      <c r="B1124" s="1327">
        <v>284</v>
      </c>
      <c r="C1124" s="64">
        <f t="shared" si="20"/>
        <v>3.5846131773135878E-2</v>
      </c>
    </row>
    <row r="1125" spans="1:3" ht="15.75" thickBot="1">
      <c r="A1125" s="1328">
        <v>42249</v>
      </c>
      <c r="B1125" s="1329">
        <v>283</v>
      </c>
      <c r="C1125" s="64">
        <f t="shared" si="20"/>
        <v>-3.5273405179684107E-3</v>
      </c>
    </row>
    <row r="1126" spans="1:3" ht="15.75" thickBot="1">
      <c r="A1126" s="1326">
        <v>42250</v>
      </c>
      <c r="B1126" s="1327">
        <v>286</v>
      </c>
      <c r="C1126" s="64">
        <f t="shared" si="20"/>
        <v>1.054491317661504E-2</v>
      </c>
    </row>
    <row r="1127" spans="1:3" ht="15.75" thickBot="1">
      <c r="A1127" s="1328">
        <v>42251</v>
      </c>
      <c r="B1127" s="1329">
        <v>287</v>
      </c>
      <c r="C1127" s="64">
        <f t="shared" si="20"/>
        <v>3.4904049397685676E-3</v>
      </c>
    </row>
    <row r="1128" spans="1:3" ht="15.75" thickBot="1">
      <c r="A1128" s="1326">
        <v>42254</v>
      </c>
      <c r="B1128" s="1327">
        <v>287</v>
      </c>
      <c r="C1128" s="64">
        <f t="shared" si="20"/>
        <v>0</v>
      </c>
    </row>
    <row r="1129" spans="1:3" ht="15.75" thickBot="1">
      <c r="A1129" s="1328">
        <v>42255</v>
      </c>
      <c r="B1129" s="1329">
        <v>281</v>
      </c>
      <c r="C1129" s="64">
        <f t="shared" si="20"/>
        <v>-2.1127546425875394E-2</v>
      </c>
    </row>
    <row r="1130" spans="1:3" ht="15.75" thickBot="1">
      <c r="A1130" s="1326">
        <v>42256</v>
      </c>
      <c r="B1130" s="1327">
        <v>277</v>
      </c>
      <c r="C1130" s="64">
        <f t="shared" si="20"/>
        <v>-1.4337163146407218E-2</v>
      </c>
    </row>
    <row r="1131" spans="1:3" ht="15.75" thickBot="1">
      <c r="A1131" s="1328">
        <v>42257</v>
      </c>
      <c r="B1131" s="1329">
        <v>278</v>
      </c>
      <c r="C1131" s="64">
        <f t="shared" si="20"/>
        <v>3.6036075032986181E-3</v>
      </c>
    </row>
    <row r="1132" spans="1:3" ht="15.75" thickBot="1">
      <c r="A1132" s="1326">
        <v>42258</v>
      </c>
      <c r="B1132" s="1327">
        <v>283</v>
      </c>
      <c r="C1132" s="64">
        <f t="shared" si="20"/>
        <v>1.7825783952600666E-2</v>
      </c>
    </row>
    <row r="1133" spans="1:3" ht="15.75" thickBot="1">
      <c r="A1133" s="1328">
        <v>42261</v>
      </c>
      <c r="B1133" s="1329">
        <v>281</v>
      </c>
      <c r="C1133" s="64">
        <f t="shared" si="20"/>
        <v>-7.0922283094919103E-3</v>
      </c>
    </row>
    <row r="1134" spans="1:3" ht="15.75" thickBot="1">
      <c r="A1134" s="1326">
        <v>42262</v>
      </c>
      <c r="B1134" s="1327">
        <v>269</v>
      </c>
      <c r="C1134" s="64">
        <f t="shared" si="20"/>
        <v>-4.3643289731906634E-2</v>
      </c>
    </row>
    <row r="1135" spans="1:3" ht="15.75" thickBot="1">
      <c r="A1135" s="1328">
        <v>42263</v>
      </c>
      <c r="B1135" s="1329">
        <v>264</v>
      </c>
      <c r="C1135" s="64">
        <f t="shared" si="20"/>
        <v>-1.8762276455522892E-2</v>
      </c>
    </row>
    <row r="1136" spans="1:3" ht="15.75" thickBot="1">
      <c r="A1136" s="1326">
        <v>42264</v>
      </c>
      <c r="B1136" s="1327">
        <v>265</v>
      </c>
      <c r="C1136" s="64">
        <f t="shared" si="20"/>
        <v>3.7807228399061523E-3</v>
      </c>
    </row>
    <row r="1137" spans="1:3" ht="15.75" thickBot="1">
      <c r="A1137" s="1328">
        <v>42265</v>
      </c>
      <c r="B1137" s="1329">
        <v>266</v>
      </c>
      <c r="C1137" s="64">
        <f t="shared" si="20"/>
        <v>3.7664827954768648E-3</v>
      </c>
    </row>
    <row r="1138" spans="1:3" ht="15.75" thickBot="1">
      <c r="A1138" s="1326">
        <v>42268</v>
      </c>
      <c r="B1138" s="1327">
        <v>274</v>
      </c>
      <c r="C1138" s="64">
        <f t="shared" si="20"/>
        <v>2.9631797606371149E-2</v>
      </c>
    </row>
    <row r="1139" spans="1:3" ht="15.75" thickBot="1">
      <c r="A1139" s="1328">
        <v>42269</v>
      </c>
      <c r="B1139" s="1329">
        <v>292</v>
      </c>
      <c r="C1139" s="64">
        <f t="shared" si="20"/>
        <v>6.3625695880211552E-2</v>
      </c>
    </row>
    <row r="1140" spans="1:3" ht="15.75" thickBot="1">
      <c r="A1140" s="1326">
        <v>42270</v>
      </c>
      <c r="B1140" s="1327">
        <v>296</v>
      </c>
      <c r="C1140" s="64">
        <f t="shared" si="20"/>
        <v>1.3605652055778678E-2</v>
      </c>
    </row>
    <row r="1141" spans="1:3" ht="15.75" thickBot="1">
      <c r="A1141" s="1328">
        <v>42271</v>
      </c>
      <c r="B1141" s="1329">
        <v>309</v>
      </c>
      <c r="C1141" s="64">
        <f t="shared" si="20"/>
        <v>4.2981822573685033E-2</v>
      </c>
    </row>
    <row r="1142" spans="1:3" ht="15.75" thickBot="1">
      <c r="A1142" s="1326">
        <v>42272</v>
      </c>
      <c r="B1142" s="1327">
        <v>311</v>
      </c>
      <c r="C1142" s="64">
        <f t="shared" si="20"/>
        <v>6.4516352814885953E-3</v>
      </c>
    </row>
    <row r="1143" spans="1:3" ht="15.75" thickBot="1">
      <c r="A1143" s="1328">
        <v>42275</v>
      </c>
      <c r="B1143" s="1329">
        <v>325</v>
      </c>
      <c r="C1143" s="64">
        <f t="shared" si="20"/>
        <v>4.4032270150503344E-2</v>
      </c>
    </row>
    <row r="1144" spans="1:3" ht="15.75" thickBot="1">
      <c r="A1144" s="1326">
        <v>42276</v>
      </c>
      <c r="B1144" s="1327">
        <v>326</v>
      </c>
      <c r="C1144" s="64">
        <f t="shared" si="20"/>
        <v>3.0721990369700588E-3</v>
      </c>
    </row>
    <row r="1145" spans="1:3" ht="15.75" thickBot="1">
      <c r="A1145" s="1328">
        <v>42277</v>
      </c>
      <c r="B1145" s="1329">
        <v>442</v>
      </c>
      <c r="C1145" s="64">
        <f t="shared" si="20"/>
        <v>0.30441250071099046</v>
      </c>
    </row>
    <row r="1146" spans="1:3" ht="15.75" thickBot="1">
      <c r="A1146" s="1326">
        <v>42278</v>
      </c>
      <c r="B1146" s="1327">
        <v>310</v>
      </c>
      <c r="C1146" s="64">
        <f t="shared" si="20"/>
        <v>-0.35473758459850624</v>
      </c>
    </row>
    <row r="1147" spans="1:3" ht="15.75" thickBot="1">
      <c r="A1147" s="1328">
        <v>42279</v>
      </c>
      <c r="B1147" s="1329">
        <v>310</v>
      </c>
      <c r="C1147" s="64">
        <f t="shared" si="20"/>
        <v>0</v>
      </c>
    </row>
    <row r="1148" spans="1:3" ht="15.75" thickBot="1">
      <c r="A1148" s="1326">
        <v>42282</v>
      </c>
      <c r="B1148" s="1327">
        <v>291</v>
      </c>
      <c r="C1148" s="64">
        <f t="shared" si="20"/>
        <v>-6.3249030307699405E-2</v>
      </c>
    </row>
    <row r="1149" spans="1:3" ht="15.75" thickBot="1">
      <c r="A1149" s="1328">
        <v>42283</v>
      </c>
      <c r="B1149" s="1329">
        <v>289</v>
      </c>
      <c r="C1149" s="64">
        <f t="shared" si="20"/>
        <v>-6.8965790590603286E-3</v>
      </c>
    </row>
    <row r="1150" spans="1:3" ht="15.75" thickBot="1">
      <c r="A1150" s="1326">
        <v>42284</v>
      </c>
      <c r="B1150" s="1327">
        <v>284</v>
      </c>
      <c r="C1150" s="64">
        <f t="shared" si="20"/>
        <v>-1.7452449951226166E-2</v>
      </c>
    </row>
    <row r="1151" spans="1:3" ht="15.75" thickBot="1">
      <c r="A1151" s="1328">
        <v>42285</v>
      </c>
      <c r="B1151" s="1329">
        <v>272</v>
      </c>
      <c r="C1151" s="64">
        <f t="shared" si="20"/>
        <v>-4.3172171865208782E-2</v>
      </c>
    </row>
    <row r="1152" spans="1:3" ht="15.75" thickBot="1">
      <c r="A1152" s="1326">
        <v>42286</v>
      </c>
      <c r="B1152" s="1327">
        <v>269</v>
      </c>
      <c r="C1152" s="64">
        <f t="shared" si="20"/>
        <v>-1.1090686694158173E-2</v>
      </c>
    </row>
    <row r="1153" spans="1:3" ht="15.75" thickBot="1">
      <c r="A1153" s="1328">
        <v>42289</v>
      </c>
      <c r="B1153" s="1329">
        <v>269</v>
      </c>
      <c r="C1153" s="64">
        <f t="shared" si="20"/>
        <v>0</v>
      </c>
    </row>
    <row r="1154" spans="1:3" ht="15.75" thickBot="1">
      <c r="A1154" s="1326">
        <v>42290</v>
      </c>
      <c r="B1154" s="1327">
        <v>281</v>
      </c>
      <c r="C1154" s="64">
        <f t="shared" si="20"/>
        <v>4.3643289731906586E-2</v>
      </c>
    </row>
    <row r="1155" spans="1:3" ht="15.75" thickBot="1">
      <c r="A1155" s="1328">
        <v>42291</v>
      </c>
      <c r="B1155" s="1329">
        <v>282</v>
      </c>
      <c r="C1155" s="64">
        <f t="shared" si="20"/>
        <v>3.5524016043679218E-3</v>
      </c>
    </row>
    <row r="1156" spans="1:3" ht="15.75" thickBot="1">
      <c r="A1156" s="1326">
        <v>42292</v>
      </c>
      <c r="B1156" s="1327">
        <v>274</v>
      </c>
      <c r="C1156" s="64">
        <f t="shared" ref="C1156:C1210" si="21">+LN(B1156/B1155)</f>
        <v>-2.8778964550043404E-2</v>
      </c>
    </row>
    <row r="1157" spans="1:3" ht="15.75" thickBot="1">
      <c r="A1157" s="1328">
        <v>42293</v>
      </c>
      <c r="B1157" s="1329">
        <v>268</v>
      </c>
      <c r="C1157" s="64">
        <f t="shared" si="21"/>
        <v>-2.2141125877213518E-2</v>
      </c>
    </row>
    <row r="1158" spans="1:3" ht="15.75" thickBot="1">
      <c r="A1158" s="1326">
        <v>42296</v>
      </c>
      <c r="B1158" s="1327">
        <v>273</v>
      </c>
      <c r="C1158" s="64">
        <f t="shared" si="21"/>
        <v>1.8484814674103161E-2</v>
      </c>
    </row>
    <row r="1159" spans="1:3" ht="15.75" thickBot="1">
      <c r="A1159" s="1328">
        <v>42297</v>
      </c>
      <c r="B1159" s="1329">
        <v>278</v>
      </c>
      <c r="C1159" s="64">
        <f t="shared" si="21"/>
        <v>1.8149318505677269E-2</v>
      </c>
    </row>
    <row r="1160" spans="1:3" ht="15.75" thickBot="1">
      <c r="A1160" s="1326">
        <v>42298</v>
      </c>
      <c r="B1160" s="1327">
        <v>290</v>
      </c>
      <c r="C1160" s="64">
        <f t="shared" si="21"/>
        <v>4.2259809289882599E-2</v>
      </c>
    </row>
    <row r="1161" spans="1:3" ht="15.75" thickBot="1">
      <c r="A1161" s="1328">
        <v>42299</v>
      </c>
      <c r="B1161" s="1329">
        <v>290</v>
      </c>
      <c r="C1161" s="64">
        <f t="shared" si="21"/>
        <v>0</v>
      </c>
    </row>
    <row r="1162" spans="1:3" ht="15.75" thickBot="1">
      <c r="A1162" s="1326">
        <v>42300</v>
      </c>
      <c r="B1162" s="1327">
        <v>279</v>
      </c>
      <c r="C1162" s="64">
        <f t="shared" si="21"/>
        <v>-3.8669141159154048E-2</v>
      </c>
    </row>
    <row r="1163" spans="1:3" ht="15.75" thickBot="1">
      <c r="A1163" s="1328">
        <v>42303</v>
      </c>
      <c r="B1163" s="1329">
        <v>278</v>
      </c>
      <c r="C1163" s="64">
        <f t="shared" si="21"/>
        <v>-3.5906681307285959E-3</v>
      </c>
    </row>
    <row r="1164" spans="1:3" ht="15.75" thickBot="1">
      <c r="A1164" s="1326">
        <v>42304</v>
      </c>
      <c r="B1164" s="1327">
        <v>284</v>
      </c>
      <c r="C1164" s="64">
        <f t="shared" si="21"/>
        <v>2.1353124470569061E-2</v>
      </c>
    </row>
    <row r="1165" spans="1:3" ht="15.75" thickBot="1">
      <c r="A1165" s="1328">
        <v>42305</v>
      </c>
      <c r="B1165" s="1329">
        <v>279</v>
      </c>
      <c r="C1165" s="64">
        <f t="shared" si="21"/>
        <v>-1.7762456339840388E-2</v>
      </c>
    </row>
    <row r="1166" spans="1:3" ht="15.75" thickBot="1">
      <c r="A1166" s="1326">
        <v>42306</v>
      </c>
      <c r="B1166" s="1327">
        <v>281</v>
      </c>
      <c r="C1166" s="64">
        <f t="shared" si="21"/>
        <v>7.1428875123802039E-3</v>
      </c>
    </row>
    <row r="1167" spans="1:3" ht="15.75" thickBot="1">
      <c r="A1167" s="1328">
        <v>42307</v>
      </c>
      <c r="B1167" s="1329">
        <v>285</v>
      </c>
      <c r="C1167" s="64">
        <f t="shared" si="21"/>
        <v>1.4134510934904716E-2</v>
      </c>
    </row>
    <row r="1168" spans="1:3" ht="15.75" thickBot="1">
      <c r="A1168" s="1326">
        <v>42310</v>
      </c>
      <c r="B1168" s="1327">
        <v>284</v>
      </c>
      <c r="C1168" s="64">
        <f t="shared" si="21"/>
        <v>-3.5149421074444969E-3</v>
      </c>
    </row>
    <row r="1169" spans="1:3" ht="15.75" thickBot="1">
      <c r="A1169" s="1328">
        <v>42311</v>
      </c>
      <c r="B1169" s="1329">
        <v>273</v>
      </c>
      <c r="C1169" s="64">
        <f t="shared" si="21"/>
        <v>-3.9502442976246256E-2</v>
      </c>
    </row>
    <row r="1170" spans="1:3" ht="15.75" thickBot="1">
      <c r="A1170" s="1326">
        <v>42312</v>
      </c>
      <c r="B1170" s="1327">
        <v>275</v>
      </c>
      <c r="C1170" s="64">
        <f t="shared" si="21"/>
        <v>7.2993024816115351E-3</v>
      </c>
    </row>
    <row r="1171" spans="1:3" ht="15.75" thickBot="1">
      <c r="A1171" s="1328">
        <v>42313</v>
      </c>
      <c r="B1171" s="1329">
        <v>273</v>
      </c>
      <c r="C1171" s="64">
        <f t="shared" si="21"/>
        <v>-7.2993024816116079E-3</v>
      </c>
    </row>
    <row r="1172" spans="1:3" ht="15.75" thickBot="1">
      <c r="A1172" s="1326">
        <v>42314</v>
      </c>
      <c r="B1172" s="1327">
        <v>274</v>
      </c>
      <c r="C1172" s="64">
        <f t="shared" si="21"/>
        <v>3.6563112031104792E-3</v>
      </c>
    </row>
    <row r="1173" spans="1:3" ht="15.75" thickBot="1">
      <c r="A1173" s="1328">
        <v>42317</v>
      </c>
      <c r="B1173" s="1329">
        <v>280</v>
      </c>
      <c r="C1173" s="64">
        <f t="shared" si="21"/>
        <v>2.1661496781179467E-2</v>
      </c>
    </row>
    <row r="1174" spans="1:3" ht="15.75" thickBot="1">
      <c r="A1174" s="1326">
        <v>42318</v>
      </c>
      <c r="B1174" s="1327">
        <v>279</v>
      </c>
      <c r="C1174" s="64">
        <f t="shared" si="21"/>
        <v>-3.5778213478839666E-3</v>
      </c>
    </row>
    <row r="1175" spans="1:3" ht="15.75" thickBot="1">
      <c r="A1175" s="1328">
        <v>42319</v>
      </c>
      <c r="B1175" s="1329">
        <v>279</v>
      </c>
      <c r="C1175" s="64">
        <f t="shared" si="21"/>
        <v>0</v>
      </c>
    </row>
    <row r="1176" spans="1:3" ht="15.75" thickBot="1">
      <c r="A1176" s="1326">
        <v>42320</v>
      </c>
      <c r="B1176" s="1327">
        <v>282</v>
      </c>
      <c r="C1176" s="64">
        <f t="shared" si="21"/>
        <v>1.069528911674795E-2</v>
      </c>
    </row>
    <row r="1177" spans="1:3" ht="15.75" thickBot="1">
      <c r="A1177" s="1328">
        <v>42321</v>
      </c>
      <c r="B1177" s="1329">
        <v>292</v>
      </c>
      <c r="C1177" s="64">
        <f t="shared" si="21"/>
        <v>3.48467313301681E-2</v>
      </c>
    </row>
    <row r="1178" spans="1:3" ht="15.75" thickBot="1">
      <c r="A1178" s="1326">
        <v>42324</v>
      </c>
      <c r="B1178" s="1327">
        <v>288</v>
      </c>
      <c r="C1178" s="64">
        <f t="shared" si="21"/>
        <v>-1.3793322132335873E-2</v>
      </c>
    </row>
    <row r="1179" spans="1:3" ht="15.75" thickBot="1">
      <c r="A1179" s="1328">
        <v>42325</v>
      </c>
      <c r="B1179" s="1329">
        <v>289</v>
      </c>
      <c r="C1179" s="64">
        <f t="shared" si="21"/>
        <v>3.4662079764863291E-3</v>
      </c>
    </row>
    <row r="1180" spans="1:3" ht="15.75" thickBot="1">
      <c r="A1180" s="1326">
        <v>42326</v>
      </c>
      <c r="B1180" s="1327">
        <v>291</v>
      </c>
      <c r="C1180" s="64">
        <f t="shared" si="21"/>
        <v>6.8965790590604587E-3</v>
      </c>
    </row>
    <row r="1181" spans="1:3" ht="15.75" thickBot="1">
      <c r="A1181" s="1328">
        <v>42327</v>
      </c>
      <c r="B1181" s="1329">
        <v>289</v>
      </c>
      <c r="C1181" s="64">
        <f t="shared" si="21"/>
        <v>-6.8965790590603286E-3</v>
      </c>
    </row>
    <row r="1182" spans="1:3" ht="15.75" thickBot="1">
      <c r="A1182" s="1326">
        <v>42328</v>
      </c>
      <c r="B1182" s="1327">
        <v>286</v>
      </c>
      <c r="C1182" s="64">
        <f t="shared" si="21"/>
        <v>-1.0434877292579619E-2</v>
      </c>
    </row>
    <row r="1183" spans="1:3" ht="15.75" thickBot="1">
      <c r="A1183" s="1328">
        <v>42331</v>
      </c>
      <c r="B1183" s="1329">
        <v>285</v>
      </c>
      <c r="C1183" s="64">
        <f t="shared" si="21"/>
        <v>-3.5026305512021118E-3</v>
      </c>
    </row>
    <row r="1184" spans="1:3" ht="15.75" thickBot="1">
      <c r="A1184" s="1326">
        <v>42332</v>
      </c>
      <c r="B1184" s="1327">
        <v>283</v>
      </c>
      <c r="C1184" s="64">
        <f t="shared" si="21"/>
        <v>-7.0422826254129232E-3</v>
      </c>
    </row>
    <row r="1185" spans="1:3" ht="15.75" thickBot="1">
      <c r="A1185" s="1328">
        <v>42333</v>
      </c>
      <c r="B1185" s="1329">
        <v>286</v>
      </c>
      <c r="C1185" s="64">
        <f t="shared" si="21"/>
        <v>1.054491317661504E-2</v>
      </c>
    </row>
    <row r="1186" spans="1:3" ht="15.75" thickBot="1">
      <c r="A1186" s="1326">
        <v>42334</v>
      </c>
      <c r="B1186" s="1327">
        <v>286</v>
      </c>
      <c r="C1186" s="64">
        <f t="shared" si="21"/>
        <v>0</v>
      </c>
    </row>
    <row r="1187" spans="1:3" ht="15.75" thickBot="1">
      <c r="A1187" s="1328">
        <v>42335</v>
      </c>
      <c r="B1187" s="1329">
        <v>287</v>
      </c>
      <c r="C1187" s="64">
        <f t="shared" si="21"/>
        <v>3.4904049397685676E-3</v>
      </c>
    </row>
    <row r="1188" spans="1:3" ht="15.75" thickBot="1">
      <c r="A1188" s="1326">
        <v>42338</v>
      </c>
      <c r="B1188" s="1327">
        <v>289</v>
      </c>
      <c r="C1188" s="64">
        <f t="shared" si="21"/>
        <v>6.944472352810995E-3</v>
      </c>
    </row>
    <row r="1189" spans="1:3" ht="15.75" thickBot="1">
      <c r="A1189" s="1328">
        <v>42339</v>
      </c>
      <c r="B1189" s="1329">
        <v>293</v>
      </c>
      <c r="C1189" s="64">
        <f t="shared" si="21"/>
        <v>1.3745920904635136E-2</v>
      </c>
    </row>
    <row r="1190" spans="1:3" ht="15.75" thickBot="1">
      <c r="A1190" s="1326">
        <v>42340</v>
      </c>
      <c r="B1190" s="1327">
        <v>293</v>
      </c>
      <c r="C1190" s="64">
        <f t="shared" si="21"/>
        <v>0</v>
      </c>
    </row>
    <row r="1191" spans="1:3" ht="15.75" thickBot="1">
      <c r="A1191" s="1328">
        <v>42341</v>
      </c>
      <c r="B1191" s="1329">
        <v>292</v>
      </c>
      <c r="C1191" s="64">
        <f t="shared" si="21"/>
        <v>-3.418806748785609E-3</v>
      </c>
    </row>
    <row r="1192" spans="1:3" ht="15.75" thickBot="1">
      <c r="A1192" s="1326">
        <v>42342</v>
      </c>
      <c r="B1192" s="1327">
        <v>293</v>
      </c>
      <c r="C1192" s="64">
        <f t="shared" si="21"/>
        <v>3.4188067487854611E-3</v>
      </c>
    </row>
    <row r="1193" spans="1:3" ht="15.75" thickBot="1">
      <c r="A1193" s="1328">
        <v>42345</v>
      </c>
      <c r="B1193" s="1329">
        <v>307</v>
      </c>
      <c r="C1193" s="64">
        <f t="shared" si="21"/>
        <v>4.6675138570129893E-2</v>
      </c>
    </row>
    <row r="1194" spans="1:3" ht="15.75" thickBot="1">
      <c r="A1194" s="1326">
        <v>42346</v>
      </c>
      <c r="B1194" s="1327">
        <v>312</v>
      </c>
      <c r="C1194" s="64">
        <f t="shared" si="21"/>
        <v>1.6155440222285208E-2</v>
      </c>
    </row>
    <row r="1195" spans="1:3" ht="15.75" thickBot="1">
      <c r="A1195" s="1328">
        <v>42347</v>
      </c>
      <c r="B1195" s="1329">
        <v>311</v>
      </c>
      <c r="C1195" s="64">
        <f t="shared" si="21"/>
        <v>-3.2102756302482102E-3</v>
      </c>
    </row>
    <row r="1196" spans="1:3" ht="15.75" thickBot="1">
      <c r="A1196" s="1326">
        <v>42348</v>
      </c>
      <c r="B1196" s="1327">
        <v>318</v>
      </c>
      <c r="C1196" s="64">
        <f t="shared" si="21"/>
        <v>2.2258470600942697E-2</v>
      </c>
    </row>
    <row r="1197" spans="1:3" ht="15.75" thickBot="1">
      <c r="A1197" s="1328">
        <v>42349</v>
      </c>
      <c r="B1197" s="1329">
        <v>342</v>
      </c>
      <c r="C1197" s="64">
        <f t="shared" si="21"/>
        <v>7.2759354282428301E-2</v>
      </c>
    </row>
    <row r="1198" spans="1:3" ht="15.75" thickBot="1">
      <c r="A1198" s="1326">
        <v>42352</v>
      </c>
      <c r="B1198" s="1327">
        <v>338</v>
      </c>
      <c r="C1198" s="64">
        <f t="shared" si="21"/>
        <v>-1.176484157958637E-2</v>
      </c>
    </row>
    <row r="1199" spans="1:3" ht="15.75" thickBot="1">
      <c r="A1199" s="1328">
        <v>42353</v>
      </c>
      <c r="B1199" s="1329">
        <v>325</v>
      </c>
      <c r="C1199" s="64">
        <f t="shared" si="21"/>
        <v>-3.9220713153281267E-2</v>
      </c>
    </row>
    <row r="1200" spans="1:3" ht="15.75" thickBot="1">
      <c r="A1200" s="1326">
        <v>42354</v>
      </c>
      <c r="B1200" s="1327">
        <v>325</v>
      </c>
      <c r="C1200" s="64">
        <f t="shared" si="21"/>
        <v>0</v>
      </c>
    </row>
    <row r="1201" spans="1:3" ht="15.75" thickBot="1">
      <c r="A1201" s="1328">
        <v>42355</v>
      </c>
      <c r="B1201" s="1329">
        <v>321</v>
      </c>
      <c r="C1201" s="64">
        <f t="shared" si="21"/>
        <v>-1.2384059199721666E-2</v>
      </c>
    </row>
    <row r="1202" spans="1:3" ht="15.75" thickBot="1">
      <c r="A1202" s="1326">
        <v>42356</v>
      </c>
      <c r="B1202" s="1327">
        <v>330</v>
      </c>
      <c r="C1202" s="64">
        <f t="shared" si="21"/>
        <v>2.7651531330509949E-2</v>
      </c>
    </row>
    <row r="1203" spans="1:3" ht="15.75" thickBot="1">
      <c r="A1203" s="1328">
        <v>42359</v>
      </c>
      <c r="B1203" s="1329">
        <v>329</v>
      </c>
      <c r="C1203" s="64">
        <f t="shared" si="21"/>
        <v>-3.034903695154047E-3</v>
      </c>
    </row>
    <row r="1204" spans="1:3" ht="15.75" thickBot="1">
      <c r="A1204" s="1326">
        <v>42360</v>
      </c>
      <c r="B1204" s="1327">
        <v>324</v>
      </c>
      <c r="C1204" s="64">
        <f t="shared" si="21"/>
        <v>-1.5314234973042481E-2</v>
      </c>
    </row>
    <row r="1205" spans="1:3" ht="15.75" thickBot="1">
      <c r="A1205" s="1328">
        <v>42361</v>
      </c>
      <c r="B1205" s="1329">
        <v>320</v>
      </c>
      <c r="C1205" s="64">
        <f t="shared" si="21"/>
        <v>-1.2422519998557209E-2</v>
      </c>
    </row>
    <row r="1206" spans="1:3" ht="15.75" thickBot="1">
      <c r="A1206" s="1326">
        <v>42362</v>
      </c>
      <c r="B1206" s="1327">
        <v>323</v>
      </c>
      <c r="C1206" s="64">
        <f t="shared" si="21"/>
        <v>9.3313274288842219E-3</v>
      </c>
    </row>
    <row r="1207" spans="1:3" ht="15.75" thickBot="1">
      <c r="A1207" s="1328">
        <v>42366</v>
      </c>
      <c r="B1207" s="1329">
        <v>324</v>
      </c>
      <c r="C1207" s="64">
        <f t="shared" si="21"/>
        <v>3.0911925696728796E-3</v>
      </c>
    </row>
    <row r="1208" spans="1:3" ht="15.75" thickBot="1">
      <c r="A1208" s="1326">
        <v>42367</v>
      </c>
      <c r="B1208" s="1327">
        <v>311</v>
      </c>
      <c r="C1208" s="64">
        <f t="shared" si="21"/>
        <v>-4.0950603613095202E-2</v>
      </c>
    </row>
    <row r="1209" spans="1:3" ht="15.75" thickBot="1">
      <c r="A1209" s="1328">
        <v>42368</v>
      </c>
      <c r="B1209" s="1329">
        <v>316</v>
      </c>
      <c r="C1209" s="64">
        <f t="shared" si="21"/>
        <v>1.594930140767804E-2</v>
      </c>
    </row>
    <row r="1210" spans="1:3">
      <c r="A1210" s="1461">
        <v>42369</v>
      </c>
      <c r="B1210" s="1462">
        <v>321</v>
      </c>
      <c r="C1210" s="64">
        <f t="shared" si="21"/>
        <v>1.5698909543103833E-2</v>
      </c>
    </row>
    <row r="1211" spans="1:3">
      <c r="A1211" s="1463"/>
      <c r="B1211" s="1464"/>
      <c r="C1211" s="1465"/>
    </row>
    <row r="1212" spans="1:3">
      <c r="A1212" s="1463"/>
      <c r="B1212" s="1464"/>
      <c r="C1212" s="1465"/>
    </row>
    <row r="1213" spans="1:3">
      <c r="A1213" s="1463"/>
      <c r="B1213" s="1464"/>
      <c r="C1213" s="1465"/>
    </row>
    <row r="1214" spans="1:3">
      <c r="A1214" s="1463"/>
      <c r="B1214" s="1464"/>
      <c r="C1214" s="1465"/>
    </row>
    <row r="1215" spans="1:3">
      <c r="A1215" s="1463"/>
      <c r="B1215" s="1464"/>
      <c r="C1215" s="1465"/>
    </row>
    <row r="1216" spans="1:3">
      <c r="A1216" s="1463"/>
      <c r="B1216" s="1464"/>
      <c r="C1216" s="1465"/>
    </row>
    <row r="1217" spans="1:3">
      <c r="A1217" s="1463"/>
      <c r="B1217" s="1464"/>
      <c r="C1217" s="1465"/>
    </row>
    <row r="1218" spans="1:3">
      <c r="A1218" s="1463"/>
      <c r="B1218" s="1464"/>
      <c r="C1218" s="1465"/>
    </row>
    <row r="1219" spans="1:3">
      <c r="A1219" s="1463"/>
      <c r="B1219" s="1464"/>
      <c r="C1219" s="1465"/>
    </row>
    <row r="1220" spans="1:3">
      <c r="A1220" s="1463"/>
      <c r="B1220" s="1464"/>
      <c r="C1220" s="1465"/>
    </row>
    <row r="1221" spans="1:3">
      <c r="A1221" s="1463"/>
      <c r="B1221" s="1464"/>
      <c r="C1221" s="1465"/>
    </row>
    <row r="1222" spans="1:3">
      <c r="A1222" s="1463"/>
      <c r="B1222" s="1464"/>
      <c r="C1222" s="1465"/>
    </row>
    <row r="1223" spans="1:3">
      <c r="A1223" s="1463"/>
      <c r="B1223" s="1464"/>
      <c r="C1223" s="1465"/>
    </row>
    <row r="1224" spans="1:3">
      <c r="A1224" s="1463"/>
      <c r="B1224" s="1464"/>
      <c r="C1224" s="1465"/>
    </row>
    <row r="1225" spans="1:3">
      <c r="A1225" s="1463"/>
      <c r="B1225" s="1464"/>
      <c r="C1225" s="1465"/>
    </row>
    <row r="1226" spans="1:3">
      <c r="A1226" s="1463"/>
      <c r="B1226" s="1464"/>
      <c r="C1226" s="1465"/>
    </row>
    <row r="1227" spans="1:3">
      <c r="A1227" s="1463"/>
      <c r="B1227" s="1464"/>
      <c r="C1227" s="1465"/>
    </row>
    <row r="1228" spans="1:3">
      <c r="A1228" s="1463"/>
      <c r="B1228" s="1464"/>
      <c r="C1228" s="1465"/>
    </row>
    <row r="1229" spans="1:3">
      <c r="A1229" s="1463"/>
      <c r="B1229" s="1464"/>
      <c r="C1229" s="1465"/>
    </row>
    <row r="1230" spans="1:3">
      <c r="A1230" s="1463"/>
      <c r="B1230" s="1464"/>
      <c r="C1230" s="1465"/>
    </row>
    <row r="1231" spans="1:3">
      <c r="A1231" s="1463"/>
      <c r="B1231" s="1464"/>
      <c r="C1231" s="1465"/>
    </row>
    <row r="1232" spans="1:3">
      <c r="A1232" s="1463"/>
      <c r="B1232" s="1464"/>
      <c r="C1232" s="1465"/>
    </row>
    <row r="1233" spans="1:3">
      <c r="A1233" s="1463"/>
      <c r="B1233" s="1464"/>
      <c r="C1233" s="1465"/>
    </row>
    <row r="1234" spans="1:3">
      <c r="A1234" s="1463"/>
      <c r="B1234" s="1464"/>
      <c r="C1234" s="1465"/>
    </row>
    <row r="1235" spans="1:3">
      <c r="A1235" s="1463"/>
      <c r="B1235" s="1464"/>
      <c r="C1235" s="1465"/>
    </row>
    <row r="1236" spans="1:3">
      <c r="A1236" s="1463"/>
      <c r="B1236" s="1464"/>
      <c r="C1236" s="1465"/>
    </row>
    <row r="1237" spans="1:3">
      <c r="A1237" s="1463"/>
      <c r="B1237" s="1464"/>
      <c r="C1237" s="1465"/>
    </row>
    <row r="1238" spans="1:3">
      <c r="A1238" s="1463"/>
      <c r="B1238" s="1464"/>
      <c r="C1238" s="1465"/>
    </row>
    <row r="1239" spans="1:3">
      <c r="A1239" s="1463"/>
      <c r="B1239" s="1464"/>
      <c r="C1239" s="1465"/>
    </row>
    <row r="1240" spans="1:3">
      <c r="A1240" s="1463"/>
      <c r="B1240" s="1464"/>
      <c r="C1240" s="1465"/>
    </row>
    <row r="1241" spans="1:3">
      <c r="A1241" s="1463"/>
      <c r="B1241" s="1464"/>
      <c r="C1241" s="1465"/>
    </row>
    <row r="1242" spans="1:3">
      <c r="A1242" s="1463"/>
      <c r="B1242" s="1464"/>
      <c r="C1242" s="1465"/>
    </row>
    <row r="1243" spans="1:3">
      <c r="A1243" s="1463"/>
      <c r="B1243" s="1464"/>
      <c r="C1243" s="1465"/>
    </row>
    <row r="1244" spans="1:3">
      <c r="A1244" s="1463"/>
      <c r="B1244" s="1464"/>
      <c r="C1244" s="1465"/>
    </row>
    <row r="1245" spans="1:3">
      <c r="A1245" s="1463"/>
      <c r="B1245" s="1464"/>
      <c r="C1245" s="1465"/>
    </row>
    <row r="1246" spans="1:3">
      <c r="A1246" s="1463"/>
      <c r="B1246" s="1464"/>
      <c r="C1246" s="1465"/>
    </row>
    <row r="1247" spans="1:3">
      <c r="A1247" s="1463"/>
      <c r="B1247" s="1464"/>
      <c r="C1247" s="1465"/>
    </row>
    <row r="1248" spans="1:3">
      <c r="A1248" s="1463"/>
      <c r="B1248" s="1464"/>
      <c r="C1248" s="1465"/>
    </row>
    <row r="1249" spans="1:3">
      <c r="A1249" s="1463"/>
      <c r="B1249" s="1464"/>
      <c r="C1249" s="1465"/>
    </row>
    <row r="1250" spans="1:3">
      <c r="A1250" s="1463"/>
      <c r="B1250" s="1464"/>
      <c r="C1250" s="1465"/>
    </row>
    <row r="1251" spans="1:3">
      <c r="A1251" s="1463"/>
      <c r="B1251" s="1464"/>
      <c r="C1251" s="1465"/>
    </row>
    <row r="1252" spans="1:3">
      <c r="A1252" s="1463"/>
      <c r="B1252" s="1464"/>
      <c r="C1252" s="1465"/>
    </row>
    <row r="1253" spans="1:3">
      <c r="A1253" s="1463"/>
      <c r="B1253" s="1464"/>
      <c r="C1253" s="1465"/>
    </row>
    <row r="1254" spans="1:3">
      <c r="A1254" s="1463"/>
      <c r="B1254" s="1464"/>
      <c r="C1254" s="1465"/>
    </row>
    <row r="1255" spans="1:3">
      <c r="A1255" s="1463"/>
      <c r="B1255" s="1464"/>
      <c r="C1255" s="1465"/>
    </row>
    <row r="1256" spans="1:3">
      <c r="A1256" s="1463"/>
      <c r="B1256" s="1464"/>
      <c r="C1256" s="1465"/>
    </row>
    <row r="1257" spans="1:3">
      <c r="A1257" s="1463"/>
      <c r="B1257" s="1464"/>
      <c r="C1257" s="1465"/>
    </row>
    <row r="1258" spans="1:3">
      <c r="A1258" s="1463"/>
      <c r="B1258" s="1464"/>
      <c r="C1258" s="1465"/>
    </row>
    <row r="1259" spans="1:3">
      <c r="A1259" s="1463"/>
      <c r="B1259" s="1464"/>
      <c r="C1259" s="1465"/>
    </row>
    <row r="1260" spans="1:3">
      <c r="A1260" s="1463"/>
      <c r="B1260" s="1464"/>
      <c r="C1260" s="1465"/>
    </row>
    <row r="1261" spans="1:3">
      <c r="A1261" s="1463"/>
      <c r="B1261" s="1464"/>
      <c r="C1261" s="1465"/>
    </row>
    <row r="1262" spans="1:3">
      <c r="A1262" s="1463"/>
      <c r="B1262" s="1464"/>
      <c r="C1262" s="1465"/>
    </row>
    <row r="1263" spans="1:3">
      <c r="A1263" s="1463"/>
      <c r="B1263" s="1464"/>
      <c r="C1263" s="1465"/>
    </row>
    <row r="1264" spans="1:3">
      <c r="A1264" s="1463"/>
      <c r="B1264" s="1464"/>
      <c r="C1264" s="1465"/>
    </row>
    <row r="1265" spans="1:3">
      <c r="A1265" s="1463"/>
      <c r="B1265" s="1464"/>
      <c r="C1265" s="1465"/>
    </row>
    <row r="1266" spans="1:3">
      <c r="A1266" s="1463"/>
      <c r="B1266" s="1464"/>
      <c r="C1266" s="1465"/>
    </row>
    <row r="1267" spans="1:3">
      <c r="A1267" s="1463"/>
      <c r="B1267" s="1464"/>
      <c r="C1267" s="1465"/>
    </row>
    <row r="1268" spans="1:3">
      <c r="A1268" s="1463"/>
      <c r="B1268" s="1464"/>
      <c r="C1268" s="1465"/>
    </row>
    <row r="1269" spans="1:3">
      <c r="A1269" s="1463"/>
      <c r="B1269" s="1464"/>
      <c r="C1269" s="1465"/>
    </row>
    <row r="1270" spans="1:3">
      <c r="A1270" s="1463"/>
      <c r="B1270" s="1464"/>
      <c r="C1270" s="1465"/>
    </row>
    <row r="1271" spans="1:3">
      <c r="A1271" s="1463"/>
      <c r="B1271" s="1464"/>
      <c r="C1271" s="1465"/>
    </row>
    <row r="1272" spans="1:3">
      <c r="A1272" s="1463"/>
      <c r="B1272" s="1464"/>
      <c r="C1272" s="1465"/>
    </row>
    <row r="1273" spans="1:3">
      <c r="A1273" s="1463"/>
      <c r="B1273" s="1464"/>
      <c r="C1273" s="1465"/>
    </row>
    <row r="1274" spans="1:3">
      <c r="A1274" s="1463"/>
      <c r="B1274" s="1464"/>
      <c r="C1274" s="1465"/>
    </row>
    <row r="1275" spans="1:3">
      <c r="A1275" s="1463"/>
      <c r="B1275" s="1464"/>
      <c r="C1275" s="1465"/>
    </row>
    <row r="1276" spans="1:3">
      <c r="A1276" s="1463"/>
      <c r="B1276" s="1464"/>
      <c r="C1276" s="1465"/>
    </row>
    <row r="1277" spans="1:3">
      <c r="A1277" s="1463"/>
      <c r="B1277" s="1464"/>
      <c r="C1277" s="1465"/>
    </row>
    <row r="1278" spans="1:3">
      <c r="A1278" s="1463"/>
      <c r="B1278" s="1464"/>
      <c r="C1278" s="1465"/>
    </row>
    <row r="1279" spans="1:3">
      <c r="A1279" s="1463"/>
      <c r="B1279" s="1464"/>
      <c r="C1279" s="1465"/>
    </row>
    <row r="1280" spans="1:3">
      <c r="A1280" s="1463"/>
      <c r="B1280" s="1464"/>
      <c r="C1280" s="1465"/>
    </row>
    <row r="1281" spans="1:3">
      <c r="A1281" s="1463"/>
      <c r="B1281" s="1464"/>
      <c r="C1281" s="1465"/>
    </row>
    <row r="1282" spans="1:3">
      <c r="A1282" s="1463"/>
      <c r="B1282" s="1464"/>
      <c r="C1282" s="1465"/>
    </row>
    <row r="1283" spans="1:3">
      <c r="A1283" s="1463"/>
      <c r="B1283" s="1464"/>
      <c r="C1283" s="1465"/>
    </row>
    <row r="1284" spans="1:3">
      <c r="A1284" s="1463"/>
      <c r="B1284" s="1464"/>
      <c r="C1284" s="1465"/>
    </row>
    <row r="1285" spans="1:3">
      <c r="A1285" s="1463"/>
      <c r="B1285" s="1464"/>
      <c r="C1285" s="1465"/>
    </row>
    <row r="1286" spans="1:3">
      <c r="A1286" s="1463"/>
      <c r="B1286" s="1464"/>
      <c r="C1286" s="1465"/>
    </row>
    <row r="1287" spans="1:3">
      <c r="A1287" s="1463"/>
      <c r="B1287" s="1464"/>
      <c r="C1287" s="1465"/>
    </row>
    <row r="1288" spans="1:3">
      <c r="A1288" s="1463"/>
      <c r="B1288" s="1464"/>
      <c r="C1288" s="1465"/>
    </row>
    <row r="1289" spans="1:3">
      <c r="A1289" s="1463"/>
      <c r="B1289" s="1464"/>
      <c r="C1289" s="1465"/>
    </row>
    <row r="1290" spans="1:3">
      <c r="A1290" s="1463"/>
      <c r="B1290" s="1464"/>
      <c r="C1290" s="1465"/>
    </row>
    <row r="1291" spans="1:3">
      <c r="A1291" s="1463"/>
      <c r="B1291" s="1464"/>
      <c r="C1291" s="1465"/>
    </row>
    <row r="1292" spans="1:3">
      <c r="A1292" s="1463"/>
      <c r="B1292" s="1464"/>
      <c r="C1292" s="1465"/>
    </row>
    <row r="1293" spans="1:3">
      <c r="A1293" s="1463"/>
      <c r="B1293" s="1464"/>
      <c r="C1293" s="1465"/>
    </row>
    <row r="1294" spans="1:3">
      <c r="A1294" s="1463"/>
      <c r="B1294" s="1464"/>
      <c r="C1294" s="1465"/>
    </row>
    <row r="1295" spans="1:3">
      <c r="A1295" s="1463"/>
      <c r="B1295" s="1464"/>
      <c r="C1295" s="1465"/>
    </row>
    <row r="1296" spans="1:3">
      <c r="A1296" s="1463"/>
      <c r="B1296" s="1464"/>
      <c r="C1296" s="1465"/>
    </row>
    <row r="1297" spans="1:3">
      <c r="A1297" s="1463"/>
      <c r="B1297" s="1464"/>
      <c r="C1297" s="1465"/>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33"/>
  <sheetViews>
    <sheetView topLeftCell="A28" zoomScale="80" zoomScaleNormal="80" workbookViewId="0">
      <selection activeCell="I39" sqref="I39"/>
    </sheetView>
  </sheetViews>
  <sheetFormatPr baseColWidth="10" defaultRowHeight="15"/>
  <cols>
    <col min="6" max="6" width="12.7109375" bestFit="1" customWidth="1"/>
    <col min="7" max="7" width="10.85546875" bestFit="1" customWidth="1"/>
    <col min="9" max="9" width="12.7109375" bestFit="1" customWidth="1"/>
    <col min="10" max="10" width="12" bestFit="1" customWidth="1"/>
  </cols>
  <sheetData>
    <row r="1" spans="1:10" ht="15.75" thickBot="1">
      <c r="A1" s="1456" t="s">
        <v>1442</v>
      </c>
      <c r="B1" s="1456" t="s">
        <v>549</v>
      </c>
    </row>
    <row r="2" spans="1:10" ht="15.75" thickBot="1">
      <c r="A2" s="1328">
        <v>40735</v>
      </c>
      <c r="B2" s="1457">
        <v>16240</v>
      </c>
    </row>
    <row r="3" spans="1:10" ht="15.75" thickBot="1">
      <c r="A3" s="1326">
        <v>40736</v>
      </c>
      <c r="B3" s="1458">
        <v>16000</v>
      </c>
      <c r="C3">
        <f>+LN(B3/B2)</f>
        <v>-1.4888612493750637E-2</v>
      </c>
      <c r="F3" s="1158" t="s">
        <v>1377</v>
      </c>
      <c r="G3" s="1158" t="s">
        <v>1378</v>
      </c>
      <c r="H3" s="1158" t="s">
        <v>1010</v>
      </c>
      <c r="I3" s="1330" t="s">
        <v>1379</v>
      </c>
      <c r="J3" s="1158" t="s">
        <v>1380</v>
      </c>
    </row>
    <row r="4" spans="1:10" ht="15.75" thickBot="1">
      <c r="A4" s="1328">
        <v>40737</v>
      </c>
      <c r="B4" s="1457">
        <v>16200</v>
      </c>
      <c r="C4" s="64">
        <f t="shared" ref="C4:C67" si="0">+LN(B4/B3)</f>
        <v>1.242251999855711E-2</v>
      </c>
      <c r="F4" s="1160">
        <v>-7.9488939462831559E-2</v>
      </c>
      <c r="G4" s="1160">
        <v>1</v>
      </c>
      <c r="H4" s="701">
        <f>+G4/$G$37</f>
        <v>9.7087378640776695E-4</v>
      </c>
      <c r="I4" s="1459">
        <f>+F4*H4</f>
        <v>-7.7173727633817051E-5</v>
      </c>
      <c r="J4" s="701">
        <f>+(F4-$I$37)^2*H4</f>
        <v>6.4863334727217326E-6</v>
      </c>
    </row>
    <row r="5" spans="1:10" ht="15.75" thickBot="1">
      <c r="A5" s="1326">
        <v>40738</v>
      </c>
      <c r="B5" s="1458">
        <v>15900</v>
      </c>
      <c r="C5" s="64">
        <f t="shared" si="0"/>
        <v>-1.8692133012152522E-2</v>
      </c>
      <c r="F5" s="1160">
        <v>-7.4178669264129929E-2</v>
      </c>
      <c r="G5" s="1160">
        <v>0</v>
      </c>
      <c r="H5" s="701">
        <f t="shared" ref="H5:H36" si="1">+G5/$G$37</f>
        <v>0</v>
      </c>
      <c r="I5" s="1459">
        <f t="shared" ref="I5:I35" si="2">+F5*H5</f>
        <v>0</v>
      </c>
      <c r="J5" s="701">
        <f t="shared" ref="J5:J35" si="3">+(F5-$I$37)^2*H5</f>
        <v>0</v>
      </c>
    </row>
    <row r="6" spans="1:10" ht="15.75" thickBot="1">
      <c r="A6" s="1328">
        <v>40739</v>
      </c>
      <c r="B6" s="1457">
        <v>15800</v>
      </c>
      <c r="C6" s="64">
        <f t="shared" si="0"/>
        <v>-6.309169193264721E-3</v>
      </c>
      <c r="F6" s="1160">
        <v>-6.8868399065428312E-2</v>
      </c>
      <c r="G6" s="1160">
        <v>0</v>
      </c>
      <c r="H6" s="701">
        <f t="shared" si="1"/>
        <v>0</v>
      </c>
      <c r="I6" s="1459">
        <f t="shared" si="2"/>
        <v>0</v>
      </c>
      <c r="J6" s="701">
        <f t="shared" si="3"/>
        <v>0</v>
      </c>
    </row>
    <row r="7" spans="1:10" ht="15.75" thickBot="1">
      <c r="A7" s="1326">
        <v>40742</v>
      </c>
      <c r="B7" s="1458">
        <v>15860</v>
      </c>
      <c r="C7" s="64">
        <f t="shared" si="0"/>
        <v>3.7902761737808269E-3</v>
      </c>
      <c r="F7" s="1160">
        <v>-6.3558128866726682E-2</v>
      </c>
      <c r="G7" s="1160">
        <v>0</v>
      </c>
      <c r="H7" s="701">
        <f t="shared" si="1"/>
        <v>0</v>
      </c>
      <c r="I7" s="1459">
        <f t="shared" si="2"/>
        <v>0</v>
      </c>
      <c r="J7" s="701">
        <f t="shared" si="3"/>
        <v>0</v>
      </c>
    </row>
    <row r="8" spans="1:10" ht="15.75" thickBot="1">
      <c r="A8" s="1328">
        <v>40743</v>
      </c>
      <c r="B8" s="1457">
        <v>16320</v>
      </c>
      <c r="C8" s="64">
        <f t="shared" si="0"/>
        <v>2.8591133329258955E-2</v>
      </c>
      <c r="F8" s="1160">
        <v>-5.8247858668025058E-2</v>
      </c>
      <c r="G8" s="1160">
        <v>0</v>
      </c>
      <c r="H8" s="701">
        <f t="shared" si="1"/>
        <v>0</v>
      </c>
      <c r="I8" s="1459">
        <f t="shared" si="2"/>
        <v>0</v>
      </c>
      <c r="J8" s="701">
        <f t="shared" si="3"/>
        <v>0</v>
      </c>
    </row>
    <row r="9" spans="1:10" ht="15.75" thickBot="1">
      <c r="A9" s="1326">
        <v>40745</v>
      </c>
      <c r="B9" s="1458">
        <v>16420</v>
      </c>
      <c r="C9" s="64">
        <f t="shared" si="0"/>
        <v>6.1087544883211909E-3</v>
      </c>
      <c r="F9" s="1160">
        <v>-5.2937588469323435E-2</v>
      </c>
      <c r="G9" s="1160">
        <v>2</v>
      </c>
      <c r="H9" s="701">
        <f t="shared" si="1"/>
        <v>1.9417475728155339E-3</v>
      </c>
      <c r="I9" s="1459">
        <f t="shared" si="2"/>
        <v>-1.0279143392101637E-4</v>
      </c>
      <c r="J9" s="701">
        <f t="shared" si="3"/>
        <v>5.9134885667921338E-6</v>
      </c>
    </row>
    <row r="10" spans="1:10" ht="15.75" thickBot="1">
      <c r="A10" s="1328">
        <v>40746</v>
      </c>
      <c r="B10" s="1457">
        <v>16340</v>
      </c>
      <c r="C10" s="64">
        <f t="shared" si="0"/>
        <v>-4.8840145924253483E-3</v>
      </c>
      <c r="F10" s="1160">
        <v>-4.7627318270621805E-2</v>
      </c>
      <c r="G10" s="1160">
        <v>0</v>
      </c>
      <c r="H10" s="701">
        <f t="shared" si="1"/>
        <v>0</v>
      </c>
      <c r="I10" s="1459">
        <f t="shared" si="2"/>
        <v>0</v>
      </c>
      <c r="J10" s="701">
        <f t="shared" si="3"/>
        <v>0</v>
      </c>
    </row>
    <row r="11" spans="1:10" ht="15.75" thickBot="1">
      <c r="A11" s="1326">
        <v>40749</v>
      </c>
      <c r="B11" s="1458">
        <v>16640</v>
      </c>
      <c r="C11" s="64">
        <f t="shared" si="0"/>
        <v>1.8193345961205729E-2</v>
      </c>
      <c r="F11" s="1160">
        <v>-4.2317048071920181E-2</v>
      </c>
      <c r="G11" s="1160">
        <v>2</v>
      </c>
      <c r="H11" s="701">
        <f t="shared" si="1"/>
        <v>1.9417475728155339E-3</v>
      </c>
      <c r="I11" s="1459">
        <f t="shared" si="2"/>
        <v>-8.2169025382369281E-5</v>
      </c>
      <c r="J11" s="701">
        <f t="shared" si="3"/>
        <v>3.8563911457491951E-6</v>
      </c>
    </row>
    <row r="12" spans="1:10" ht="15.75" thickBot="1">
      <c r="A12" s="1328">
        <v>40750</v>
      </c>
      <c r="B12" s="1457">
        <v>16700</v>
      </c>
      <c r="C12" s="64">
        <f t="shared" si="0"/>
        <v>3.5992840296468214E-3</v>
      </c>
      <c r="F12" s="1160">
        <v>-3.7006777873218558E-2</v>
      </c>
      <c r="G12" s="1160">
        <v>0</v>
      </c>
      <c r="H12" s="701">
        <f t="shared" si="1"/>
        <v>0</v>
      </c>
      <c r="I12" s="1459">
        <f t="shared" si="2"/>
        <v>0</v>
      </c>
      <c r="J12" s="701">
        <f t="shared" si="3"/>
        <v>0</v>
      </c>
    </row>
    <row r="13" spans="1:10" ht="15.75" thickBot="1">
      <c r="A13" s="1326">
        <v>40751</v>
      </c>
      <c r="B13" s="1458">
        <v>16700</v>
      </c>
      <c r="C13" s="64">
        <f t="shared" si="0"/>
        <v>0</v>
      </c>
      <c r="F13" s="1160">
        <v>-3.1696507674516934E-2</v>
      </c>
      <c r="G13" s="1160">
        <v>3</v>
      </c>
      <c r="H13" s="701">
        <f t="shared" si="1"/>
        <v>2.9126213592233011E-3</v>
      </c>
      <c r="I13" s="1459">
        <f t="shared" si="2"/>
        <v>-9.2319925265583303E-5</v>
      </c>
      <c r="J13" s="701">
        <f t="shared" si="3"/>
        <v>3.3560039559887502E-6</v>
      </c>
    </row>
    <row r="14" spans="1:10" ht="15.75" thickBot="1">
      <c r="A14" s="1328">
        <v>40752</v>
      </c>
      <c r="B14" s="1457">
        <v>16740</v>
      </c>
      <c r="C14" s="64">
        <f t="shared" si="0"/>
        <v>2.3923456386199015E-3</v>
      </c>
      <c r="F14" s="1160">
        <v>-2.6386237475815311E-2</v>
      </c>
      <c r="G14" s="1160">
        <v>10</v>
      </c>
      <c r="H14" s="701">
        <f t="shared" si="1"/>
        <v>9.7087378640776691E-3</v>
      </c>
      <c r="I14" s="1459">
        <f t="shared" si="2"/>
        <v>-2.5617706287199327E-4</v>
      </c>
      <c r="J14" s="701">
        <f t="shared" si="3"/>
        <v>7.9603711267324698E-6</v>
      </c>
    </row>
    <row r="15" spans="1:10" ht="15.75" thickBot="1">
      <c r="A15" s="1326">
        <v>40753</v>
      </c>
      <c r="B15" s="1458">
        <v>16640</v>
      </c>
      <c r="C15" s="64">
        <f t="shared" si="0"/>
        <v>-5.9916296682667467E-3</v>
      </c>
      <c r="F15" s="1160">
        <v>-2.107596727711368E-2</v>
      </c>
      <c r="G15" s="1160">
        <v>14</v>
      </c>
      <c r="H15" s="701">
        <f t="shared" si="1"/>
        <v>1.3592233009708738E-2</v>
      </c>
      <c r="I15" s="1459">
        <f t="shared" si="2"/>
        <v>-2.8646945813552574E-4</v>
      </c>
      <c r="J15" s="701">
        <f t="shared" si="3"/>
        <v>7.3942612906543377E-6</v>
      </c>
    </row>
    <row r="16" spans="1:10" ht="15.75" thickBot="1">
      <c r="A16" s="1328">
        <v>40756</v>
      </c>
      <c r="B16" s="1457">
        <v>16700</v>
      </c>
      <c r="C16" s="64">
        <f t="shared" si="0"/>
        <v>3.5992840296468214E-3</v>
      </c>
      <c r="F16" s="1160">
        <v>-1.576569707841205E-2</v>
      </c>
      <c r="G16" s="1160">
        <v>29</v>
      </c>
      <c r="H16" s="701">
        <f t="shared" si="1"/>
        <v>2.8155339805825241E-2</v>
      </c>
      <c r="I16" s="1459">
        <f t="shared" si="2"/>
        <v>-4.4388855851839752E-4</v>
      </c>
      <c r="J16" s="701">
        <f t="shared" si="3"/>
        <v>9.1361950781945364E-6</v>
      </c>
    </row>
    <row r="17" spans="1:10" ht="15.75" thickBot="1">
      <c r="A17" s="1326">
        <v>40757</v>
      </c>
      <c r="B17" s="1458">
        <v>16620</v>
      </c>
      <c r="C17" s="64">
        <f t="shared" si="0"/>
        <v>-4.801929995407306E-3</v>
      </c>
      <c r="F17" s="1160">
        <v>-1.0455426879710433E-2</v>
      </c>
      <c r="G17" s="1160">
        <v>66</v>
      </c>
      <c r="H17" s="701">
        <f t="shared" si="1"/>
        <v>6.4077669902912623E-2</v>
      </c>
      <c r="I17" s="1459">
        <f t="shared" si="2"/>
        <v>-6.6995939229212492E-4</v>
      </c>
      <c r="J17" s="701">
        <f t="shared" si="3"/>
        <v>1.0340627825148739E-5</v>
      </c>
    </row>
    <row r="18" spans="1:10" ht="15.75" thickBot="1">
      <c r="A18" s="1328">
        <v>40758</v>
      </c>
      <c r="B18" s="1457">
        <v>16560</v>
      </c>
      <c r="C18" s="64">
        <f t="shared" si="0"/>
        <v>-3.6166404701885504E-3</v>
      </c>
      <c r="F18" s="1160">
        <v>-5.1451566810088029E-3</v>
      </c>
      <c r="G18" s="1160">
        <v>121</v>
      </c>
      <c r="H18" s="701">
        <f t="shared" si="1"/>
        <v>0.11747572815533981</v>
      </c>
      <c r="I18" s="1459">
        <f t="shared" si="2"/>
        <v>-6.0443102757482057E-4</v>
      </c>
      <c r="J18" s="701">
        <f t="shared" si="3"/>
        <v>6.4210379681737058E-6</v>
      </c>
    </row>
    <row r="19" spans="1:10" ht="15.75" thickBot="1">
      <c r="A19" s="1326">
        <v>40759</v>
      </c>
      <c r="B19" s="1458">
        <v>16120</v>
      </c>
      <c r="C19" s="64">
        <f t="shared" si="0"/>
        <v>-2.6929411878631408E-2</v>
      </c>
      <c r="F19" s="1160">
        <v>1.6511351769281368E-4</v>
      </c>
      <c r="G19" s="1160">
        <v>289</v>
      </c>
      <c r="H19" s="701">
        <f t="shared" si="1"/>
        <v>0.28058252427184466</v>
      </c>
      <c r="I19" s="1459">
        <f t="shared" si="2"/>
        <v>4.6327967585653546E-5</v>
      </c>
      <c r="J19" s="701">
        <f t="shared" si="3"/>
        <v>1.2172565998954426E-6</v>
      </c>
    </row>
    <row r="20" spans="1:10" ht="15.75" thickBot="1">
      <c r="A20" s="1328">
        <v>40760</v>
      </c>
      <c r="B20" s="1457">
        <v>16040</v>
      </c>
      <c r="C20" s="64">
        <f t="shared" si="0"/>
        <v>-4.975134640113843E-3</v>
      </c>
      <c r="F20" s="1160">
        <v>5.4753837163944441E-3</v>
      </c>
      <c r="G20" s="1160">
        <v>259</v>
      </c>
      <c r="H20" s="701">
        <f t="shared" si="1"/>
        <v>0.25145631067961166</v>
      </c>
      <c r="I20" s="1459">
        <f t="shared" si="2"/>
        <v>1.376819788879768E-3</v>
      </c>
      <c r="J20" s="701">
        <f t="shared" si="3"/>
        <v>2.6192080416589727E-6</v>
      </c>
    </row>
    <row r="21" spans="1:10" ht="15.75" thickBot="1">
      <c r="A21" s="1326">
        <v>40763</v>
      </c>
      <c r="B21" s="1458">
        <v>15540</v>
      </c>
      <c r="C21" s="64">
        <f t="shared" si="0"/>
        <v>-3.1668257498867057E-2</v>
      </c>
      <c r="F21" s="1160">
        <v>1.0785653915096075E-2</v>
      </c>
      <c r="G21" s="1160">
        <v>132</v>
      </c>
      <c r="H21" s="701">
        <f t="shared" si="1"/>
        <v>0.12815533980582525</v>
      </c>
      <c r="I21" s="1459">
        <f t="shared" si="2"/>
        <v>1.3822391425171669E-3</v>
      </c>
      <c r="J21" s="701">
        <f t="shared" si="3"/>
        <v>9.3414901686582659E-6</v>
      </c>
    </row>
    <row r="22" spans="1:10" ht="15.75" thickBot="1">
      <c r="A22" s="1328">
        <v>40764</v>
      </c>
      <c r="B22" s="1457">
        <v>15940</v>
      </c>
      <c r="C22" s="64">
        <f t="shared" si="0"/>
        <v>2.541432842256762E-2</v>
      </c>
      <c r="F22" s="1160">
        <v>1.6095924113797691E-2</v>
      </c>
      <c r="G22" s="1160">
        <v>63</v>
      </c>
      <c r="H22" s="701">
        <f t="shared" si="1"/>
        <v>6.1165048543689322E-2</v>
      </c>
      <c r="I22" s="1459">
        <f t="shared" si="2"/>
        <v>9.8450797977597533E-4</v>
      </c>
      <c r="J22" s="701">
        <f t="shared" si="3"/>
        <v>1.1729355007271039E-5</v>
      </c>
    </row>
    <row r="23" spans="1:10" ht="15.75" thickBot="1">
      <c r="A23" s="1326">
        <v>40765</v>
      </c>
      <c r="B23" s="1458">
        <v>15900</v>
      </c>
      <c r="C23" s="64">
        <f t="shared" si="0"/>
        <v>-2.5125641358831594E-3</v>
      </c>
      <c r="F23" s="1160">
        <v>2.1406194312499321E-2</v>
      </c>
      <c r="G23" s="1160">
        <v>20</v>
      </c>
      <c r="H23" s="701">
        <f t="shared" si="1"/>
        <v>1.9417475728155338E-2</v>
      </c>
      <c r="I23" s="1459">
        <f t="shared" si="2"/>
        <v>4.1565425849513242E-4</v>
      </c>
      <c r="J23" s="701">
        <f t="shared" si="3"/>
        <v>7.1269378450267826E-6</v>
      </c>
    </row>
    <row r="24" spans="1:10" ht="15.75" thickBot="1">
      <c r="A24" s="1328">
        <v>40766</v>
      </c>
      <c r="B24" s="1457">
        <v>16040</v>
      </c>
      <c r="C24" s="64">
        <f t="shared" si="0"/>
        <v>8.7664932121825929E-3</v>
      </c>
      <c r="F24" s="1160">
        <v>2.6716464511200938E-2</v>
      </c>
      <c r="G24" s="1160">
        <v>8</v>
      </c>
      <c r="H24" s="701">
        <f t="shared" si="1"/>
        <v>7.7669902912621356E-3</v>
      </c>
      <c r="I24" s="1459">
        <f t="shared" si="2"/>
        <v>2.0750652047534708E-4</v>
      </c>
      <c r="J24" s="701">
        <f t="shared" si="3"/>
        <v>4.6501506162891215E-6</v>
      </c>
    </row>
    <row r="25" spans="1:10" ht="15.75" thickBot="1">
      <c r="A25" s="1326">
        <v>40767</v>
      </c>
      <c r="B25" s="1458">
        <v>16080</v>
      </c>
      <c r="C25" s="64">
        <f t="shared" si="0"/>
        <v>2.4906613124518304E-3</v>
      </c>
      <c r="F25" s="1160">
        <v>3.2026734709902568E-2</v>
      </c>
      <c r="G25" s="1160">
        <v>5</v>
      </c>
      <c r="H25" s="701">
        <f t="shared" si="1"/>
        <v>4.8543689320388345E-3</v>
      </c>
      <c r="I25" s="1459">
        <f t="shared" si="2"/>
        <v>1.5546958597040079E-4</v>
      </c>
      <c r="J25" s="701">
        <f t="shared" si="3"/>
        <v>4.3047302128252773E-6</v>
      </c>
    </row>
    <row r="26" spans="1:10" ht="15.75" thickBot="1">
      <c r="A26" s="1328">
        <v>40771</v>
      </c>
      <c r="B26" s="1457">
        <v>16080</v>
      </c>
      <c r="C26" s="64">
        <f t="shared" si="0"/>
        <v>0</v>
      </c>
      <c r="F26" s="1160">
        <v>3.7337004908604199E-2</v>
      </c>
      <c r="G26" s="1160">
        <v>1</v>
      </c>
      <c r="H26" s="701">
        <f t="shared" si="1"/>
        <v>9.7087378640776695E-4</v>
      </c>
      <c r="I26" s="1459">
        <f t="shared" si="2"/>
        <v>3.6249519328741941E-5</v>
      </c>
      <c r="J26" s="701">
        <f t="shared" si="3"/>
        <v>1.1953785388380848E-6</v>
      </c>
    </row>
    <row r="27" spans="1:10" ht="15.75" thickBot="1">
      <c r="A27" s="1326">
        <v>40772</v>
      </c>
      <c r="B27" s="1458">
        <v>16320</v>
      </c>
      <c r="C27" s="64">
        <f t="shared" si="0"/>
        <v>1.4815085785140682E-2</v>
      </c>
      <c r="F27" s="1160">
        <v>4.2647275107305815E-2</v>
      </c>
      <c r="G27" s="1160">
        <v>2</v>
      </c>
      <c r="H27" s="701">
        <f t="shared" si="1"/>
        <v>1.9417475728155339E-3</v>
      </c>
      <c r="I27" s="1459">
        <f t="shared" si="2"/>
        <v>8.2810242926807402E-5</v>
      </c>
      <c r="J27" s="701">
        <f t="shared" si="3"/>
        <v>3.1691326317104537E-6</v>
      </c>
    </row>
    <row r="28" spans="1:10" ht="15.75" thickBot="1">
      <c r="A28" s="1328">
        <v>40773</v>
      </c>
      <c r="B28" s="1457">
        <v>15840</v>
      </c>
      <c r="C28" s="64">
        <f t="shared" si="0"/>
        <v>-2.985296314968116E-2</v>
      </c>
      <c r="F28" s="1160">
        <v>4.795754530600746E-2</v>
      </c>
      <c r="G28" s="1160">
        <v>2</v>
      </c>
      <c r="H28" s="701">
        <f t="shared" si="1"/>
        <v>1.9417475728155339E-3</v>
      </c>
      <c r="I28" s="1459">
        <f t="shared" si="2"/>
        <v>9.3121447196130988E-5</v>
      </c>
      <c r="J28" s="701">
        <f t="shared" si="3"/>
        <v>4.0570187472329703E-6</v>
      </c>
    </row>
    <row r="29" spans="1:10" ht="15.75" thickBot="1">
      <c r="A29" s="1326">
        <v>40774</v>
      </c>
      <c r="B29" s="1458">
        <v>15820</v>
      </c>
      <c r="C29" s="64">
        <f t="shared" si="0"/>
        <v>-1.2634240467720174E-3</v>
      </c>
      <c r="F29" s="1160">
        <v>5.3267815504709076E-2</v>
      </c>
      <c r="G29" s="1160">
        <v>0</v>
      </c>
      <c r="H29" s="701">
        <f t="shared" si="1"/>
        <v>0</v>
      </c>
      <c r="I29" s="1459">
        <f t="shared" si="2"/>
        <v>0</v>
      </c>
      <c r="J29" s="701">
        <f t="shared" si="3"/>
        <v>0</v>
      </c>
    </row>
    <row r="30" spans="1:10" ht="15.75" thickBot="1">
      <c r="A30" s="1328">
        <v>40777</v>
      </c>
      <c r="B30" s="1457">
        <v>15760</v>
      </c>
      <c r="C30" s="64">
        <f t="shared" si="0"/>
        <v>-3.799877909774786E-3</v>
      </c>
      <c r="F30" s="1160">
        <v>5.8578085703410693E-2</v>
      </c>
      <c r="G30" s="1160">
        <v>0</v>
      </c>
      <c r="H30" s="701">
        <f t="shared" si="1"/>
        <v>0</v>
      </c>
      <c r="I30" s="1459">
        <f t="shared" si="2"/>
        <v>0</v>
      </c>
      <c r="J30" s="701">
        <f t="shared" si="3"/>
        <v>0</v>
      </c>
    </row>
    <row r="31" spans="1:10" ht="15.75" thickBot="1">
      <c r="A31" s="1326">
        <v>40778</v>
      </c>
      <c r="B31" s="1458">
        <v>16000</v>
      </c>
      <c r="C31" s="64">
        <f t="shared" si="0"/>
        <v>1.5113637810048106E-2</v>
      </c>
      <c r="F31" s="1160">
        <v>6.3888355902112309E-2</v>
      </c>
      <c r="G31" s="1160">
        <v>0</v>
      </c>
      <c r="H31" s="701">
        <f t="shared" si="1"/>
        <v>0</v>
      </c>
      <c r="I31" s="1459">
        <f t="shared" si="2"/>
        <v>0</v>
      </c>
      <c r="J31" s="701">
        <f t="shared" si="3"/>
        <v>0</v>
      </c>
    </row>
    <row r="32" spans="1:10" ht="15.75" thickBot="1">
      <c r="A32" s="1328">
        <v>40779</v>
      </c>
      <c r="B32" s="1457">
        <v>16020</v>
      </c>
      <c r="C32" s="64">
        <f t="shared" si="0"/>
        <v>1.2492194004318981E-3</v>
      </c>
      <c r="F32" s="1160">
        <v>6.9198626100813954E-2</v>
      </c>
      <c r="G32" s="1160">
        <v>0</v>
      </c>
      <c r="H32" s="701">
        <f t="shared" si="1"/>
        <v>0</v>
      </c>
      <c r="I32" s="1459">
        <f t="shared" si="2"/>
        <v>0</v>
      </c>
      <c r="J32" s="701">
        <f t="shared" si="3"/>
        <v>0</v>
      </c>
    </row>
    <row r="33" spans="1:10" ht="15.75" thickBot="1">
      <c r="A33" s="1326">
        <v>40780</v>
      </c>
      <c r="B33" s="1458">
        <v>16000</v>
      </c>
      <c r="C33" s="64">
        <f t="shared" si="0"/>
        <v>-1.2492194004319278E-3</v>
      </c>
      <c r="F33" s="1160">
        <v>7.450889629951557E-2</v>
      </c>
      <c r="G33" s="1160">
        <v>0</v>
      </c>
      <c r="H33" s="701">
        <f t="shared" si="1"/>
        <v>0</v>
      </c>
      <c r="I33" s="1459">
        <f t="shared" si="2"/>
        <v>0</v>
      </c>
      <c r="J33" s="701">
        <f t="shared" si="3"/>
        <v>0</v>
      </c>
    </row>
    <row r="34" spans="1:10" ht="15.75" thickBot="1">
      <c r="A34" s="1328">
        <v>40781</v>
      </c>
      <c r="B34" s="1457">
        <v>16000</v>
      </c>
      <c r="C34" s="64">
        <f t="shared" si="0"/>
        <v>0</v>
      </c>
      <c r="F34" s="1160">
        <v>7.9819166498217187E-2</v>
      </c>
      <c r="G34" s="1160">
        <v>0</v>
      </c>
      <c r="H34" s="701">
        <f t="shared" si="1"/>
        <v>0</v>
      </c>
      <c r="I34" s="1459">
        <f t="shared" si="2"/>
        <v>0</v>
      </c>
      <c r="J34" s="701">
        <f t="shared" si="3"/>
        <v>0</v>
      </c>
    </row>
    <row r="35" spans="1:10" ht="15.75" thickBot="1">
      <c r="A35" s="1326">
        <v>40784</v>
      </c>
      <c r="B35" s="1458">
        <v>16400</v>
      </c>
      <c r="C35" s="64">
        <f t="shared" si="0"/>
        <v>2.4692612590371414E-2</v>
      </c>
      <c r="F35" s="1160">
        <v>8.5129436696918831E-2</v>
      </c>
      <c r="G35" s="1160">
        <v>0</v>
      </c>
      <c r="H35" s="701">
        <f t="shared" si="1"/>
        <v>0</v>
      </c>
      <c r="I35" s="1459">
        <f t="shared" si="2"/>
        <v>0</v>
      </c>
      <c r="J35" s="701">
        <f t="shared" si="3"/>
        <v>0</v>
      </c>
    </row>
    <row r="36" spans="1:10" ht="15.75" thickBot="1">
      <c r="A36" s="1328">
        <v>40785</v>
      </c>
      <c r="B36" s="1457">
        <v>16480</v>
      </c>
      <c r="C36" s="64">
        <f t="shared" si="0"/>
        <v>4.8661896511729063E-3</v>
      </c>
      <c r="F36" s="1161" t="s">
        <v>1381</v>
      </c>
      <c r="G36" s="1161">
        <v>1</v>
      </c>
      <c r="H36" s="701">
        <f t="shared" si="1"/>
        <v>9.7087378640776695E-4</v>
      </c>
      <c r="I36" s="1459">
        <f>+F35*H36</f>
        <v>8.2649938540697892E-5</v>
      </c>
      <c r="J36" s="701">
        <f>+(F35-$I$37)^2*H36</f>
        <v>6.6692586387804654E-6</v>
      </c>
    </row>
    <row r="37" spans="1:10" ht="15.75" thickBot="1">
      <c r="A37" s="1326">
        <v>40786</v>
      </c>
      <c r="B37" s="1458">
        <v>16500</v>
      </c>
      <c r="C37" s="64">
        <f t="shared" si="0"/>
        <v>1.2128564252092296E-3</v>
      </c>
      <c r="G37" s="17">
        <f>SUM(G4:G36)</f>
        <v>1030</v>
      </c>
      <c r="I37" s="1331">
        <f>SUM(I4:I36)</f>
        <v>2.2479767800961743E-3</v>
      </c>
      <c r="J37" s="1331">
        <f>SQRT(SUM(J4:J36))</f>
        <v>1.0814093927756615E-2</v>
      </c>
    </row>
    <row r="38" spans="1:10" ht="15.75" thickBot="1">
      <c r="A38" s="1328">
        <v>40787</v>
      </c>
      <c r="B38" s="1457">
        <v>16540</v>
      </c>
      <c r="C38" s="64">
        <f t="shared" si="0"/>
        <v>2.4213086890103454E-3</v>
      </c>
    </row>
    <row r="39" spans="1:10" ht="15.75" thickBot="1">
      <c r="A39" s="1326">
        <v>40788</v>
      </c>
      <c r="B39" s="1458">
        <v>16600</v>
      </c>
      <c r="C39" s="64">
        <f t="shared" si="0"/>
        <v>3.6210057669523619E-3</v>
      </c>
      <c r="H39" s="1332" t="s">
        <v>1382</v>
      </c>
      <c r="I39" s="1331">
        <f>+J37*SQRT(252)</f>
        <v>0.17166841912402617</v>
      </c>
    </row>
    <row r="40" spans="1:10" ht="15.75" thickBot="1">
      <c r="A40" s="1328">
        <v>40791</v>
      </c>
      <c r="B40" s="1457">
        <v>16120</v>
      </c>
      <c r="C40" s="64">
        <f t="shared" si="0"/>
        <v>-2.934195828401532E-2</v>
      </c>
    </row>
    <row r="41" spans="1:10" ht="15.75" thickBot="1">
      <c r="A41" s="1326">
        <v>40792</v>
      </c>
      <c r="B41" s="1458">
        <v>16220</v>
      </c>
      <c r="C41" s="64">
        <f t="shared" si="0"/>
        <v>6.1843116087845224E-3</v>
      </c>
      <c r="I41" s="1460"/>
    </row>
    <row r="42" spans="1:10" ht="15.75" thickBot="1">
      <c r="A42" s="1328">
        <v>40793</v>
      </c>
      <c r="B42" s="1457">
        <v>16500</v>
      </c>
      <c r="C42" s="64">
        <f t="shared" si="0"/>
        <v>1.7115332219267962E-2</v>
      </c>
    </row>
    <row r="43" spans="1:10" ht="15.75" thickBot="1">
      <c r="A43" s="1326">
        <v>40794</v>
      </c>
      <c r="B43" s="1458">
        <v>16440</v>
      </c>
      <c r="C43" s="64">
        <f t="shared" si="0"/>
        <v>-3.6429912785010919E-3</v>
      </c>
    </row>
    <row r="44" spans="1:10" ht="15.75" thickBot="1">
      <c r="A44" s="1328">
        <v>40795</v>
      </c>
      <c r="B44" s="1457">
        <v>16320</v>
      </c>
      <c r="C44" s="64">
        <f t="shared" si="0"/>
        <v>-7.3260400920728977E-3</v>
      </c>
    </row>
    <row r="45" spans="1:10" ht="15.75" thickBot="1">
      <c r="A45" s="1326">
        <v>40798</v>
      </c>
      <c r="B45" s="1458">
        <v>16200</v>
      </c>
      <c r="C45" s="64">
        <f t="shared" si="0"/>
        <v>-7.3801072976225337E-3</v>
      </c>
    </row>
    <row r="46" spans="1:10" ht="15.75" thickBot="1">
      <c r="A46" s="1328">
        <v>40799</v>
      </c>
      <c r="B46" s="1457">
        <v>16420</v>
      </c>
      <c r="C46" s="64">
        <f t="shared" si="0"/>
        <v>1.34888617859437E-2</v>
      </c>
    </row>
    <row r="47" spans="1:10" ht="15.75" thickBot="1">
      <c r="A47" s="1326">
        <v>40800</v>
      </c>
      <c r="B47" s="1458">
        <v>16420</v>
      </c>
      <c r="C47" s="64">
        <f t="shared" si="0"/>
        <v>0</v>
      </c>
    </row>
    <row r="48" spans="1:10" ht="15.75" thickBot="1">
      <c r="A48" s="1328">
        <v>40801</v>
      </c>
      <c r="B48" s="1457">
        <v>16600</v>
      </c>
      <c r="C48" s="64">
        <f t="shared" si="0"/>
        <v>1.0902591338215436E-2</v>
      </c>
    </row>
    <row r="49" spans="1:3" ht="15.75" thickBot="1">
      <c r="A49" s="1326">
        <v>40802</v>
      </c>
      <c r="B49" s="1458">
        <v>16800</v>
      </c>
      <c r="C49" s="64">
        <f t="shared" si="0"/>
        <v>1.197619104671562E-2</v>
      </c>
    </row>
    <row r="50" spans="1:3" ht="15.75" thickBot="1">
      <c r="A50" s="1328">
        <v>40805</v>
      </c>
      <c r="B50" s="1457">
        <v>16740</v>
      </c>
      <c r="C50" s="64">
        <f t="shared" si="0"/>
        <v>-3.5778213478839666E-3</v>
      </c>
    </row>
    <row r="51" spans="1:3" ht="15.75" thickBot="1">
      <c r="A51" s="1326">
        <v>40806</v>
      </c>
      <c r="B51" s="1458">
        <v>16855</v>
      </c>
      <c r="C51" s="64">
        <f t="shared" si="0"/>
        <v>6.8462836246947316E-3</v>
      </c>
    </row>
    <row r="52" spans="1:3" ht="15.75" thickBot="1">
      <c r="A52" s="1328">
        <v>40807</v>
      </c>
      <c r="B52" s="1457">
        <v>16600</v>
      </c>
      <c r="C52" s="64">
        <f t="shared" si="0"/>
        <v>-1.5244653323526541E-2</v>
      </c>
    </row>
    <row r="53" spans="1:3" ht="15.75" thickBot="1">
      <c r="A53" s="1326">
        <v>40808</v>
      </c>
      <c r="B53" s="1458">
        <v>16400</v>
      </c>
      <c r="C53" s="64">
        <f t="shared" si="0"/>
        <v>-1.212136053234485E-2</v>
      </c>
    </row>
    <row r="54" spans="1:3" ht="15.75" thickBot="1">
      <c r="A54" s="1328">
        <v>40809</v>
      </c>
      <c r="B54" s="1457">
        <v>15980</v>
      </c>
      <c r="C54" s="64">
        <f t="shared" si="0"/>
        <v>-2.5943394492024152E-2</v>
      </c>
    </row>
    <row r="55" spans="1:3" ht="15.75" thickBot="1">
      <c r="A55" s="1326">
        <v>40812</v>
      </c>
      <c r="B55" s="1458">
        <v>15855</v>
      </c>
      <c r="C55" s="64">
        <f t="shared" si="0"/>
        <v>-7.8530323478179804E-3</v>
      </c>
    </row>
    <row r="56" spans="1:3" ht="15.75" thickBot="1">
      <c r="A56" s="1328">
        <v>40813</v>
      </c>
      <c r="B56" s="1457">
        <v>16000</v>
      </c>
      <c r="C56" s="64">
        <f t="shared" si="0"/>
        <v>9.1038142494706993E-3</v>
      </c>
    </row>
    <row r="57" spans="1:3" ht="15.75" thickBot="1">
      <c r="A57" s="1326">
        <v>40814</v>
      </c>
      <c r="B57" s="1458">
        <v>15935</v>
      </c>
      <c r="C57" s="64">
        <f t="shared" si="0"/>
        <v>-4.0707743704814729E-3</v>
      </c>
    </row>
    <row r="58" spans="1:3" ht="15.75" thickBot="1">
      <c r="A58" s="1328">
        <v>40815</v>
      </c>
      <c r="B58" s="1457">
        <v>16000</v>
      </c>
      <c r="C58" s="64">
        <f t="shared" si="0"/>
        <v>4.0707743704814104E-3</v>
      </c>
    </row>
    <row r="59" spans="1:3" ht="15.75" thickBot="1">
      <c r="A59" s="1326">
        <v>40816</v>
      </c>
      <c r="B59" s="1458">
        <v>16000</v>
      </c>
      <c r="C59" s="64">
        <f t="shared" si="0"/>
        <v>0</v>
      </c>
    </row>
    <row r="60" spans="1:3" ht="15.75" thickBot="1">
      <c r="A60" s="1328">
        <v>40820</v>
      </c>
      <c r="B60" s="1457">
        <v>15640</v>
      </c>
      <c r="C60" s="64">
        <f t="shared" si="0"/>
        <v>-2.275698712261618E-2</v>
      </c>
    </row>
    <row r="61" spans="1:3" ht="15.75" thickBot="1">
      <c r="A61" s="1326">
        <v>40821</v>
      </c>
      <c r="B61" s="1458">
        <v>15800</v>
      </c>
      <c r="C61" s="64">
        <f t="shared" si="0"/>
        <v>1.0178204915756052E-2</v>
      </c>
    </row>
    <row r="62" spans="1:3" ht="15.75" thickBot="1">
      <c r="A62" s="1328">
        <v>40822</v>
      </c>
      <c r="B62" s="1457">
        <v>15900</v>
      </c>
      <c r="C62" s="64">
        <f t="shared" si="0"/>
        <v>6.3091691932647556E-3</v>
      </c>
    </row>
    <row r="63" spans="1:3" ht="15.75" thickBot="1">
      <c r="A63" s="1326">
        <v>40823</v>
      </c>
      <c r="B63" s="1458">
        <v>15895</v>
      </c>
      <c r="C63" s="64">
        <f t="shared" si="0"/>
        <v>-3.1451486341986989E-4</v>
      </c>
    </row>
    <row r="64" spans="1:3" ht="15.75" thickBot="1">
      <c r="A64" s="1328">
        <v>40826</v>
      </c>
      <c r="B64" s="1457">
        <v>16020</v>
      </c>
      <c r="C64" s="64">
        <f t="shared" si="0"/>
        <v>7.8333472774471148E-3</v>
      </c>
    </row>
    <row r="65" spans="1:3" ht="15.75" thickBot="1">
      <c r="A65" s="1326">
        <v>40827</v>
      </c>
      <c r="B65" s="1458">
        <v>16070</v>
      </c>
      <c r="C65" s="64">
        <f t="shared" si="0"/>
        <v>3.1162381092079529E-3</v>
      </c>
    </row>
    <row r="66" spans="1:3" ht="15.75" thickBot="1">
      <c r="A66" s="1328">
        <v>40828</v>
      </c>
      <c r="B66" s="1457">
        <v>16200</v>
      </c>
      <c r="C66" s="64">
        <f t="shared" si="0"/>
        <v>8.0570624889171709E-3</v>
      </c>
    </row>
    <row r="67" spans="1:3" ht="15.75" thickBot="1">
      <c r="A67" s="1326">
        <v>40829</v>
      </c>
      <c r="B67" s="1458">
        <v>16200</v>
      </c>
      <c r="C67" s="64">
        <f t="shared" si="0"/>
        <v>0</v>
      </c>
    </row>
    <row r="68" spans="1:3" ht="15.75" thickBot="1">
      <c r="A68" s="1328">
        <v>40830</v>
      </c>
      <c r="B68" s="1457">
        <v>16325</v>
      </c>
      <c r="C68" s="64">
        <f t="shared" ref="C68:C131" si="4">+LN(B68/B67)</f>
        <v>7.6864329241562914E-3</v>
      </c>
    </row>
    <row r="69" spans="1:3" ht="15.75" thickBot="1">
      <c r="A69" s="1326">
        <v>40834</v>
      </c>
      <c r="B69" s="1458">
        <v>16280</v>
      </c>
      <c r="C69" s="64">
        <f t="shared" si="4"/>
        <v>-2.7603145881005108E-3</v>
      </c>
    </row>
    <row r="70" spans="1:3" ht="15.75" thickBot="1">
      <c r="A70" s="1328">
        <v>40835</v>
      </c>
      <c r="B70" s="1457">
        <v>16270</v>
      </c>
      <c r="C70" s="64">
        <f t="shared" si="4"/>
        <v>-6.1443934344777211E-4</v>
      </c>
    </row>
    <row r="71" spans="1:3" ht="15.75" thickBot="1">
      <c r="A71" s="1326">
        <v>40836</v>
      </c>
      <c r="B71" s="1458">
        <v>16210</v>
      </c>
      <c r="C71" s="64">
        <f t="shared" si="4"/>
        <v>-3.6945854833616756E-3</v>
      </c>
    </row>
    <row r="72" spans="1:3" ht="15.75" thickBot="1">
      <c r="A72" s="1328">
        <v>40837</v>
      </c>
      <c r="B72" s="1457">
        <v>16295</v>
      </c>
      <c r="C72" s="64">
        <f t="shared" si="4"/>
        <v>5.2299765419400223E-3</v>
      </c>
    </row>
    <row r="73" spans="1:3" ht="15.75" thickBot="1">
      <c r="A73" s="1326">
        <v>40840</v>
      </c>
      <c r="B73" s="1458">
        <v>16450</v>
      </c>
      <c r="C73" s="64">
        <f t="shared" si="4"/>
        <v>9.4671649218560517E-3</v>
      </c>
    </row>
    <row r="74" spans="1:3" ht="15.75" thickBot="1">
      <c r="A74" s="1328">
        <v>40841</v>
      </c>
      <c r="B74" s="1457">
        <v>16439</v>
      </c>
      <c r="C74" s="64">
        <f t="shared" si="4"/>
        <v>-6.689166840075408E-4</v>
      </c>
    </row>
    <row r="75" spans="1:3" ht="15.75" thickBot="1">
      <c r="A75" s="1326">
        <v>40842</v>
      </c>
      <c r="B75" s="1458">
        <v>16380</v>
      </c>
      <c r="C75" s="64">
        <f t="shared" si="4"/>
        <v>-3.5954821024500329E-3</v>
      </c>
    </row>
    <row r="76" spans="1:3" ht="15.75" thickBot="1">
      <c r="A76" s="1328">
        <v>40843</v>
      </c>
      <c r="B76" s="1457">
        <v>16500</v>
      </c>
      <c r="C76" s="64">
        <f t="shared" si="4"/>
        <v>7.2993024816115351E-3</v>
      </c>
    </row>
    <row r="77" spans="1:3" ht="15.75" thickBot="1">
      <c r="A77" s="1326">
        <v>40844</v>
      </c>
      <c r="B77" s="1458">
        <v>16415</v>
      </c>
      <c r="C77" s="64">
        <f t="shared" si="4"/>
        <v>-5.1648299529789112E-3</v>
      </c>
    </row>
    <row r="78" spans="1:3" ht="15.75" thickBot="1">
      <c r="A78" s="1328">
        <v>40847</v>
      </c>
      <c r="B78" s="1457">
        <v>16245</v>
      </c>
      <c r="C78" s="64">
        <f t="shared" si="4"/>
        <v>-1.0410381832492391E-2</v>
      </c>
    </row>
    <row r="79" spans="1:3" ht="15.75" thickBot="1">
      <c r="A79" s="1326">
        <v>40848</v>
      </c>
      <c r="B79" s="1458">
        <v>16000</v>
      </c>
      <c r="C79" s="64">
        <f t="shared" si="4"/>
        <v>-1.5196446881282355E-2</v>
      </c>
    </row>
    <row r="80" spans="1:3" ht="15.75" thickBot="1">
      <c r="A80" s="1328">
        <v>40849</v>
      </c>
      <c r="B80" s="1457">
        <v>16001</v>
      </c>
      <c r="C80" s="64">
        <f t="shared" si="4"/>
        <v>6.2498046956452775E-5</v>
      </c>
    </row>
    <row r="81" spans="1:3" ht="15.75" thickBot="1">
      <c r="A81" s="1326">
        <v>40850</v>
      </c>
      <c r="B81" s="1458">
        <v>16090</v>
      </c>
      <c r="C81" s="64">
        <f t="shared" si="4"/>
        <v>5.5467407175542605E-3</v>
      </c>
    </row>
    <row r="82" spans="1:3" ht="15.75" thickBot="1">
      <c r="A82" s="1328">
        <v>40851</v>
      </c>
      <c r="B82" s="1457">
        <v>16010</v>
      </c>
      <c r="C82" s="64">
        <f t="shared" si="4"/>
        <v>-4.9844339956685397E-3</v>
      </c>
    </row>
    <row r="83" spans="1:3" ht="15.75" thickBot="1">
      <c r="A83" s="1326">
        <v>40855</v>
      </c>
      <c r="B83" s="1458">
        <v>16000</v>
      </c>
      <c r="C83" s="64">
        <f t="shared" si="4"/>
        <v>-6.2480476884208469E-4</v>
      </c>
    </row>
    <row r="84" spans="1:3" ht="15.75" thickBot="1">
      <c r="A84" s="1328">
        <v>40856</v>
      </c>
      <c r="B84" s="1457">
        <v>15920</v>
      </c>
      <c r="C84" s="64">
        <f t="shared" si="4"/>
        <v>-5.0125418235442863E-3</v>
      </c>
    </row>
    <row r="85" spans="1:3" ht="15.75" thickBot="1">
      <c r="A85" s="1326">
        <v>40857</v>
      </c>
      <c r="B85" s="1458">
        <v>15820</v>
      </c>
      <c r="C85" s="64">
        <f t="shared" si="4"/>
        <v>-6.3012180767291403E-3</v>
      </c>
    </row>
    <row r="86" spans="1:3" ht="15.75" thickBot="1">
      <c r="A86" s="1328">
        <v>40858</v>
      </c>
      <c r="B86" s="1457">
        <v>15810</v>
      </c>
      <c r="C86" s="64">
        <f t="shared" si="4"/>
        <v>-6.3231111812713479E-4</v>
      </c>
    </row>
    <row r="87" spans="1:3" ht="15.75" thickBot="1">
      <c r="A87" s="1326">
        <v>40862</v>
      </c>
      <c r="B87" s="1458">
        <v>15750</v>
      </c>
      <c r="C87" s="64">
        <f t="shared" si="4"/>
        <v>-3.8022859497385706E-3</v>
      </c>
    </row>
    <row r="88" spans="1:3" ht="15.75" thickBot="1">
      <c r="A88" s="1328">
        <v>40863</v>
      </c>
      <c r="B88" s="1457">
        <v>16000</v>
      </c>
      <c r="C88" s="64">
        <f t="shared" si="4"/>
        <v>1.5748356968139112E-2</v>
      </c>
    </row>
    <row r="89" spans="1:3" ht="15.75" thickBot="1">
      <c r="A89" s="1326">
        <v>40864</v>
      </c>
      <c r="B89" s="1458">
        <v>15795</v>
      </c>
      <c r="C89" s="64">
        <f t="shared" si="4"/>
        <v>-1.2895287985732726E-2</v>
      </c>
    </row>
    <row r="90" spans="1:3" ht="15.75" thickBot="1">
      <c r="A90" s="1328">
        <v>40865</v>
      </c>
      <c r="B90" s="1457">
        <v>15830</v>
      </c>
      <c r="C90" s="64">
        <f t="shared" si="4"/>
        <v>2.2134396388723142E-3</v>
      </c>
    </row>
    <row r="91" spans="1:3" ht="15.75" thickBot="1">
      <c r="A91" s="1326">
        <v>40868</v>
      </c>
      <c r="B91" s="1458">
        <v>15400</v>
      </c>
      <c r="C91" s="64">
        <f t="shared" si="4"/>
        <v>-2.7539364473337311E-2</v>
      </c>
    </row>
    <row r="92" spans="1:3" ht="15.75" thickBot="1">
      <c r="A92" s="1328">
        <v>40869</v>
      </c>
      <c r="B92" s="1457">
        <v>15400</v>
      </c>
      <c r="C92" s="64">
        <f t="shared" si="4"/>
        <v>0</v>
      </c>
    </row>
    <row r="93" spans="1:3" ht="15.75" thickBot="1">
      <c r="A93" s="1326">
        <v>40870</v>
      </c>
      <c r="B93" s="1458">
        <v>14980</v>
      </c>
      <c r="C93" s="64">
        <f t="shared" si="4"/>
        <v>-2.7651531330510008E-2</v>
      </c>
    </row>
    <row r="94" spans="1:3" ht="15.75" thickBot="1">
      <c r="A94" s="1328">
        <v>40871</v>
      </c>
      <c r="B94" s="1457">
        <v>14980</v>
      </c>
      <c r="C94" s="64">
        <f t="shared" si="4"/>
        <v>0</v>
      </c>
    </row>
    <row r="95" spans="1:3" ht="15.75" thickBot="1">
      <c r="A95" s="1326">
        <v>40872</v>
      </c>
      <c r="B95" s="1458">
        <v>15000</v>
      </c>
      <c r="C95" s="64">
        <f t="shared" si="4"/>
        <v>1.3342230131366622E-3</v>
      </c>
    </row>
    <row r="96" spans="1:3" ht="15.75" thickBot="1">
      <c r="A96" s="1328">
        <v>40875</v>
      </c>
      <c r="B96" s="1457">
        <v>15180</v>
      </c>
      <c r="C96" s="64">
        <f t="shared" si="4"/>
        <v>1.1928570865273812E-2</v>
      </c>
    </row>
    <row r="97" spans="1:3" ht="15.75" thickBot="1">
      <c r="A97" s="1326">
        <v>40876</v>
      </c>
      <c r="B97" s="1458">
        <v>15295</v>
      </c>
      <c r="C97" s="64">
        <f t="shared" si="4"/>
        <v>7.5472056353829038E-3</v>
      </c>
    </row>
    <row r="98" spans="1:3" ht="15.75" thickBot="1">
      <c r="A98" s="1328">
        <v>40877</v>
      </c>
      <c r="B98" s="1457">
        <v>15690</v>
      </c>
      <c r="C98" s="64">
        <f t="shared" si="4"/>
        <v>2.5497589142074444E-2</v>
      </c>
    </row>
    <row r="99" spans="1:3" ht="15.75" thickBot="1">
      <c r="A99" s="1326">
        <v>40878</v>
      </c>
      <c r="B99" s="1458">
        <v>15830</v>
      </c>
      <c r="C99" s="64">
        <f t="shared" si="4"/>
        <v>8.8833071479794776E-3</v>
      </c>
    </row>
    <row r="100" spans="1:3" ht="15.75" thickBot="1">
      <c r="A100" s="1328">
        <v>40879</v>
      </c>
      <c r="B100" s="1457">
        <v>15880</v>
      </c>
      <c r="C100" s="64">
        <f t="shared" si="4"/>
        <v>3.153581926068866E-3</v>
      </c>
    </row>
    <row r="101" spans="1:3" ht="15.75" thickBot="1">
      <c r="A101" s="1326">
        <v>40882</v>
      </c>
      <c r="B101" s="1458">
        <v>15930</v>
      </c>
      <c r="C101" s="64">
        <f t="shared" si="4"/>
        <v>3.1436681029675356E-3</v>
      </c>
    </row>
    <row r="102" spans="1:3" ht="15.75" thickBot="1">
      <c r="A102" s="1328">
        <v>40883</v>
      </c>
      <c r="B102" s="1457">
        <v>15650</v>
      </c>
      <c r="C102" s="64">
        <f t="shared" si="4"/>
        <v>-1.7733206935794894E-2</v>
      </c>
    </row>
    <row r="103" spans="1:3" ht="15.75" thickBot="1">
      <c r="A103" s="1326">
        <v>40884</v>
      </c>
      <c r="B103" s="1458">
        <v>15530</v>
      </c>
      <c r="C103" s="64">
        <f t="shared" si="4"/>
        <v>-7.697279825566488E-3</v>
      </c>
    </row>
    <row r="104" spans="1:3" ht="15.75" thickBot="1">
      <c r="A104" s="1328">
        <v>40886</v>
      </c>
      <c r="B104" s="1457">
        <v>17000</v>
      </c>
      <c r="C104" s="64">
        <f t="shared" si="4"/>
        <v>9.0439706895620461E-2</v>
      </c>
    </row>
    <row r="105" spans="1:3" ht="15.75" thickBot="1">
      <c r="A105" s="1326">
        <v>40889</v>
      </c>
      <c r="B105" s="1458">
        <v>15701</v>
      </c>
      <c r="C105" s="64">
        <f t="shared" si="4"/>
        <v>-7.9488939462831559E-2</v>
      </c>
    </row>
    <row r="106" spans="1:3" ht="15.75" thickBot="1">
      <c r="A106" s="1328">
        <v>40890</v>
      </c>
      <c r="B106" s="1457">
        <v>15750</v>
      </c>
      <c r="C106" s="64">
        <f t="shared" si="4"/>
        <v>3.1159606782575474E-3</v>
      </c>
    </row>
    <row r="107" spans="1:3" ht="15.75" thickBot="1">
      <c r="A107" s="1326">
        <v>40891</v>
      </c>
      <c r="B107" s="1458">
        <v>15500</v>
      </c>
      <c r="C107" s="64">
        <f t="shared" si="4"/>
        <v>-1.6000341346441189E-2</v>
      </c>
    </row>
    <row r="108" spans="1:3" ht="15.75" thickBot="1">
      <c r="A108" s="1328">
        <v>40892</v>
      </c>
      <c r="B108" s="1457">
        <v>15480</v>
      </c>
      <c r="C108" s="64">
        <f t="shared" si="4"/>
        <v>-1.2911557636199273E-3</v>
      </c>
    </row>
    <row r="109" spans="1:3" ht="15.75" thickBot="1">
      <c r="A109" s="1326">
        <v>40893</v>
      </c>
      <c r="B109" s="1458">
        <v>15580</v>
      </c>
      <c r="C109" s="64">
        <f t="shared" si="4"/>
        <v>6.4391722810212331E-3</v>
      </c>
    </row>
    <row r="110" spans="1:3" ht="15.75" thickBot="1">
      <c r="A110" s="1328">
        <v>40896</v>
      </c>
      <c r="B110" s="1457">
        <v>15600</v>
      </c>
      <c r="C110" s="64">
        <f t="shared" si="4"/>
        <v>1.2828738128891231E-3</v>
      </c>
    </row>
    <row r="111" spans="1:3" ht="15.75" thickBot="1">
      <c r="A111" s="1326">
        <v>40897</v>
      </c>
      <c r="B111" s="1458">
        <v>15800</v>
      </c>
      <c r="C111" s="64">
        <f t="shared" si="4"/>
        <v>1.2739025777429712E-2</v>
      </c>
    </row>
    <row r="112" spans="1:3" ht="15.75" thickBot="1">
      <c r="A112" s="1328">
        <v>40898</v>
      </c>
      <c r="B112" s="1457">
        <v>15840</v>
      </c>
      <c r="C112" s="64">
        <f t="shared" si="4"/>
        <v>2.5284463533586906E-3</v>
      </c>
    </row>
    <row r="113" spans="1:3" ht="15.75" thickBot="1">
      <c r="A113" s="1326">
        <v>40899</v>
      </c>
      <c r="B113" s="1458">
        <v>15980</v>
      </c>
      <c r="C113" s="64">
        <f t="shared" si="4"/>
        <v>8.799553951848841E-3</v>
      </c>
    </row>
    <row r="114" spans="1:3" ht="15.75" thickBot="1">
      <c r="A114" s="1328">
        <v>40900</v>
      </c>
      <c r="B114" s="1457">
        <v>16000</v>
      </c>
      <c r="C114" s="64">
        <f t="shared" si="4"/>
        <v>1.2507819016526766E-3</v>
      </c>
    </row>
    <row r="115" spans="1:3" ht="15.75" thickBot="1">
      <c r="A115" s="1326">
        <v>40906</v>
      </c>
      <c r="B115" s="1458">
        <v>16200</v>
      </c>
      <c r="C115" s="64">
        <f t="shared" si="4"/>
        <v>1.242251999855711E-2</v>
      </c>
    </row>
    <row r="116" spans="1:3" ht="15.75" thickBot="1">
      <c r="A116" s="1328">
        <v>40911</v>
      </c>
      <c r="B116" s="1457">
        <v>16004</v>
      </c>
      <c r="C116" s="64">
        <f t="shared" si="4"/>
        <v>-1.2172551243349788E-2</v>
      </c>
    </row>
    <row r="117" spans="1:3" ht="15.75" thickBot="1">
      <c r="A117" s="1326">
        <v>40912</v>
      </c>
      <c r="B117" s="1458">
        <v>16080</v>
      </c>
      <c r="C117" s="64">
        <f t="shared" si="4"/>
        <v>4.7375727558316445E-3</v>
      </c>
    </row>
    <row r="118" spans="1:3" ht="15.75" thickBot="1">
      <c r="A118" s="1328">
        <v>40914</v>
      </c>
      <c r="B118" s="1457">
        <v>16100</v>
      </c>
      <c r="C118" s="64">
        <f t="shared" si="4"/>
        <v>1.2430082395970227E-3</v>
      </c>
    </row>
    <row r="119" spans="1:3" ht="15.75" thickBot="1">
      <c r="A119" s="1326">
        <v>40918</v>
      </c>
      <c r="B119" s="1458">
        <v>16200</v>
      </c>
      <c r="C119" s="64">
        <f t="shared" si="4"/>
        <v>6.1919702479209804E-3</v>
      </c>
    </row>
    <row r="120" spans="1:3" ht="15.75" thickBot="1">
      <c r="A120" s="1328">
        <v>40919</v>
      </c>
      <c r="B120" s="1457">
        <v>16100</v>
      </c>
      <c r="C120" s="64">
        <f t="shared" si="4"/>
        <v>-6.191970247921107E-3</v>
      </c>
    </row>
    <row r="121" spans="1:3" ht="15.75" thickBot="1">
      <c r="A121" s="1326">
        <v>40920</v>
      </c>
      <c r="B121" s="1458">
        <v>15900</v>
      </c>
      <c r="C121" s="64">
        <f t="shared" si="4"/>
        <v>-1.2500162764231494E-2</v>
      </c>
    </row>
    <row r="122" spans="1:3" ht="15.75" thickBot="1">
      <c r="A122" s="1328">
        <v>40921</v>
      </c>
      <c r="B122" s="1457">
        <v>15880</v>
      </c>
      <c r="C122" s="64">
        <f t="shared" si="4"/>
        <v>-1.2586534071961774E-3</v>
      </c>
    </row>
    <row r="123" spans="1:3" ht="15.75" thickBot="1">
      <c r="A123" s="1326">
        <v>40924</v>
      </c>
      <c r="B123" s="1458">
        <v>15820</v>
      </c>
      <c r="C123" s="64">
        <f t="shared" si="4"/>
        <v>-3.7854934794818561E-3</v>
      </c>
    </row>
    <row r="124" spans="1:3" ht="15.75" thickBot="1">
      <c r="A124" s="1328">
        <v>40925</v>
      </c>
      <c r="B124" s="1457">
        <v>15920</v>
      </c>
      <c r="C124" s="64">
        <f t="shared" si="4"/>
        <v>6.3012180767290553E-3</v>
      </c>
    </row>
    <row r="125" spans="1:3" ht="15.75" thickBot="1">
      <c r="A125" s="1326">
        <v>40926</v>
      </c>
      <c r="B125" s="1458">
        <v>16000</v>
      </c>
      <c r="C125" s="64">
        <f t="shared" si="4"/>
        <v>5.0125418235441935E-3</v>
      </c>
    </row>
    <row r="126" spans="1:3" ht="15.75" thickBot="1">
      <c r="A126" s="1328">
        <v>40927</v>
      </c>
      <c r="B126" s="1457">
        <v>16080</v>
      </c>
      <c r="C126" s="64">
        <f t="shared" si="4"/>
        <v>4.9875415110389679E-3</v>
      </c>
    </row>
    <row r="127" spans="1:3" ht="15.75" thickBot="1">
      <c r="A127" s="1326">
        <v>40928</v>
      </c>
      <c r="B127" s="1458">
        <v>15990</v>
      </c>
      <c r="C127" s="64">
        <f t="shared" si="4"/>
        <v>-5.6127369049574364E-3</v>
      </c>
    </row>
    <row r="128" spans="1:3" ht="15.75" thickBot="1">
      <c r="A128" s="1328">
        <v>40931</v>
      </c>
      <c r="B128" s="1457">
        <v>16099</v>
      </c>
      <c r="C128" s="64">
        <f t="shared" si="4"/>
        <v>6.7936314142944603E-3</v>
      </c>
    </row>
    <row r="129" spans="1:3" ht="15.75" thickBot="1">
      <c r="A129" s="1326">
        <v>40932</v>
      </c>
      <c r="B129" s="1458">
        <v>16030</v>
      </c>
      <c r="C129" s="64">
        <f t="shared" si="4"/>
        <v>-4.2951916386956869E-3</v>
      </c>
    </row>
    <row r="130" spans="1:3" ht="15.75" thickBot="1">
      <c r="A130" s="1328">
        <v>40933</v>
      </c>
      <c r="B130" s="1457">
        <v>15965</v>
      </c>
      <c r="C130" s="64">
        <f t="shared" si="4"/>
        <v>-4.0631404547162957E-3</v>
      </c>
    </row>
    <row r="131" spans="1:3" ht="15.75" thickBot="1">
      <c r="A131" s="1326">
        <v>40934</v>
      </c>
      <c r="B131" s="1458">
        <v>16030</v>
      </c>
      <c r="C131" s="64">
        <f t="shared" si="4"/>
        <v>4.0631404547161378E-3</v>
      </c>
    </row>
    <row r="132" spans="1:3" ht="15.75" thickBot="1">
      <c r="A132" s="1328">
        <v>40935</v>
      </c>
      <c r="B132" s="1457">
        <v>16060</v>
      </c>
      <c r="C132" s="64">
        <f t="shared" ref="C132:C195" si="5">+LN(B132/B131)</f>
        <v>1.8697418971540176E-3</v>
      </c>
    </row>
    <row r="133" spans="1:3" ht="15.75" thickBot="1">
      <c r="A133" s="1326">
        <v>40938</v>
      </c>
      <c r="B133" s="1458">
        <v>16110</v>
      </c>
      <c r="C133" s="64">
        <f t="shared" si="5"/>
        <v>3.1084886702674088E-3</v>
      </c>
    </row>
    <row r="134" spans="1:3" ht="15.75" thickBot="1">
      <c r="A134" s="1328">
        <v>40939</v>
      </c>
      <c r="B134" s="1457">
        <v>16140</v>
      </c>
      <c r="C134" s="64">
        <f t="shared" si="5"/>
        <v>1.8604656529196708E-3</v>
      </c>
    </row>
    <row r="135" spans="1:3" ht="15.75" thickBot="1">
      <c r="A135" s="1326">
        <v>40940</v>
      </c>
      <c r="B135" s="1458">
        <v>16240</v>
      </c>
      <c r="C135" s="64">
        <f t="shared" si="5"/>
        <v>6.1766718917291366E-3</v>
      </c>
    </row>
    <row r="136" spans="1:3" ht="15.75" thickBot="1">
      <c r="A136" s="1328">
        <v>40941</v>
      </c>
      <c r="B136" s="1457">
        <v>16350</v>
      </c>
      <c r="C136" s="64">
        <f t="shared" si="5"/>
        <v>6.7505626097304284E-3</v>
      </c>
    </row>
    <row r="137" spans="1:3" ht="15.75" thickBot="1">
      <c r="A137" s="1326">
        <v>40942</v>
      </c>
      <c r="B137" s="1458">
        <v>16458</v>
      </c>
      <c r="C137" s="64">
        <f t="shared" si="5"/>
        <v>6.5837838402588488E-3</v>
      </c>
    </row>
    <row r="138" spans="1:3" ht="15.75" thickBot="1">
      <c r="A138" s="1328">
        <v>40945</v>
      </c>
      <c r="B138" s="1457">
        <v>16400</v>
      </c>
      <c r="C138" s="64">
        <f t="shared" si="5"/>
        <v>-3.5303463533684926E-3</v>
      </c>
    </row>
    <row r="139" spans="1:3" ht="15.75" thickBot="1">
      <c r="A139" s="1326">
        <v>40946</v>
      </c>
      <c r="B139" s="1458">
        <v>16460</v>
      </c>
      <c r="C139" s="64">
        <f t="shared" si="5"/>
        <v>3.6518604187710177E-3</v>
      </c>
    </row>
    <row r="140" spans="1:3" ht="15.75" thickBot="1">
      <c r="A140" s="1328">
        <v>40947</v>
      </c>
      <c r="B140" s="1457">
        <v>16550</v>
      </c>
      <c r="C140" s="64">
        <f t="shared" si="5"/>
        <v>5.4529065741481305E-3</v>
      </c>
    </row>
    <row r="141" spans="1:3" ht="15.75" thickBot="1">
      <c r="A141" s="1326">
        <v>40948</v>
      </c>
      <c r="B141" s="1458">
        <v>16490.5</v>
      </c>
      <c r="C141" s="64">
        <f t="shared" si="5"/>
        <v>-3.6016443043357031E-3</v>
      </c>
    </row>
    <row r="142" spans="1:3" ht="15.75" thickBot="1">
      <c r="A142" s="1328">
        <v>40949</v>
      </c>
      <c r="B142" s="1457">
        <v>16555</v>
      </c>
      <c r="C142" s="64">
        <f t="shared" si="5"/>
        <v>3.9037134804733704E-3</v>
      </c>
    </row>
    <row r="143" spans="1:3" ht="15.75" thickBot="1">
      <c r="A143" s="1326">
        <v>40952</v>
      </c>
      <c r="B143" s="1458">
        <v>16700</v>
      </c>
      <c r="C143" s="64">
        <f t="shared" si="5"/>
        <v>8.7205484234998947E-3</v>
      </c>
    </row>
    <row r="144" spans="1:3" ht="15.75" thickBot="1">
      <c r="A144" s="1328">
        <v>40953</v>
      </c>
      <c r="B144" s="1457">
        <v>16704</v>
      </c>
      <c r="C144" s="64">
        <f t="shared" si="5"/>
        <v>2.3949227751884189E-4</v>
      </c>
    </row>
    <row r="145" spans="1:3" ht="15.75" thickBot="1">
      <c r="A145" s="1326">
        <v>40954</v>
      </c>
      <c r="B145" s="1458">
        <v>16760</v>
      </c>
      <c r="C145" s="64">
        <f t="shared" si="5"/>
        <v>3.3468833537087404E-3</v>
      </c>
    </row>
    <row r="146" spans="1:3" ht="15.75" thickBot="1">
      <c r="A146" s="1328">
        <v>40955</v>
      </c>
      <c r="B146" s="1457">
        <v>17000</v>
      </c>
      <c r="C146" s="64">
        <f t="shared" si="5"/>
        <v>1.4218249002279172E-2</v>
      </c>
    </row>
    <row r="147" spans="1:3" ht="15.75" thickBot="1">
      <c r="A147" s="1326">
        <v>40956</v>
      </c>
      <c r="B147" s="1458">
        <v>17100</v>
      </c>
      <c r="C147" s="64">
        <f t="shared" si="5"/>
        <v>5.8651194523980576E-3</v>
      </c>
    </row>
    <row r="148" spans="1:3" ht="15.75" thickBot="1">
      <c r="A148" s="1328">
        <v>40959</v>
      </c>
      <c r="B148" s="1457">
        <v>17190</v>
      </c>
      <c r="C148" s="64">
        <f t="shared" si="5"/>
        <v>5.249355886143745E-3</v>
      </c>
    </row>
    <row r="149" spans="1:3" ht="15.75" thickBot="1">
      <c r="A149" s="1326">
        <v>40960</v>
      </c>
      <c r="B149" s="1458">
        <v>17050</v>
      </c>
      <c r="C149" s="64">
        <f t="shared" si="5"/>
        <v>-8.1776156652321238E-3</v>
      </c>
    </row>
    <row r="150" spans="1:3" ht="15.75" thickBot="1">
      <c r="A150" s="1328">
        <v>40961</v>
      </c>
      <c r="B150" s="1457">
        <v>16990</v>
      </c>
      <c r="C150" s="64">
        <f t="shared" si="5"/>
        <v>-3.5252680456851603E-3</v>
      </c>
    </row>
    <row r="151" spans="1:3" ht="15.75" thickBot="1">
      <c r="A151" s="1326">
        <v>40962</v>
      </c>
      <c r="B151" s="1458">
        <v>17250</v>
      </c>
      <c r="C151" s="64">
        <f t="shared" si="5"/>
        <v>1.5187207793528164E-2</v>
      </c>
    </row>
    <row r="152" spans="1:3" ht="15.75" thickBot="1">
      <c r="A152" s="1328">
        <v>40963</v>
      </c>
      <c r="B152" s="1457">
        <v>17230</v>
      </c>
      <c r="C152" s="64">
        <f t="shared" si="5"/>
        <v>-1.1600929375304883E-3</v>
      </c>
    </row>
    <row r="153" spans="1:3" ht="15.75" thickBot="1">
      <c r="A153" s="1326">
        <v>40966</v>
      </c>
      <c r="B153" s="1458">
        <v>17100</v>
      </c>
      <c r="C153" s="64">
        <f t="shared" si="5"/>
        <v>-7.5735870312241219E-3</v>
      </c>
    </row>
    <row r="154" spans="1:3" ht="15.75" thickBot="1">
      <c r="A154" s="1328">
        <v>40967</v>
      </c>
      <c r="B154" s="1457">
        <v>17200</v>
      </c>
      <c r="C154" s="64">
        <f t="shared" si="5"/>
        <v>5.8309203107931437E-3</v>
      </c>
    </row>
    <row r="155" spans="1:3" ht="15.75" thickBot="1">
      <c r="A155" s="1326">
        <v>40968</v>
      </c>
      <c r="B155" s="1458">
        <v>17320</v>
      </c>
      <c r="C155" s="64">
        <f t="shared" si="5"/>
        <v>6.9525193148816632E-3</v>
      </c>
    </row>
    <row r="156" spans="1:3" ht="15.75" thickBot="1">
      <c r="A156" s="1328">
        <v>40969</v>
      </c>
      <c r="B156" s="1457">
        <v>17450</v>
      </c>
      <c r="C156" s="64">
        <f t="shared" si="5"/>
        <v>7.4777455141470496E-3</v>
      </c>
    </row>
    <row r="157" spans="1:3" ht="15.75" thickBot="1">
      <c r="A157" s="1326">
        <v>40970</v>
      </c>
      <c r="B157" s="1458">
        <v>17420</v>
      </c>
      <c r="C157" s="64">
        <f t="shared" si="5"/>
        <v>-1.7206772240794736E-3</v>
      </c>
    </row>
    <row r="158" spans="1:3" ht="15.75" thickBot="1">
      <c r="A158" s="1328">
        <v>40973</v>
      </c>
      <c r="B158" s="1457">
        <v>17270</v>
      </c>
      <c r="C158" s="64">
        <f t="shared" si="5"/>
        <v>-8.6480792657695031E-3</v>
      </c>
    </row>
    <row r="159" spans="1:3" ht="15.75" thickBot="1">
      <c r="A159" s="1326">
        <v>40974</v>
      </c>
      <c r="B159" s="1458">
        <v>17080</v>
      </c>
      <c r="C159" s="64">
        <f t="shared" si="5"/>
        <v>-1.1062703798163376E-2</v>
      </c>
    </row>
    <row r="160" spans="1:3" ht="15.75" thickBot="1">
      <c r="A160" s="1328">
        <v>40975</v>
      </c>
      <c r="B160" s="1457">
        <v>17187</v>
      </c>
      <c r="C160" s="64">
        <f t="shared" si="5"/>
        <v>6.2450957341265304E-3</v>
      </c>
    </row>
    <row r="161" spans="1:3" ht="15.75" thickBot="1">
      <c r="A161" s="1326">
        <v>40976</v>
      </c>
      <c r="B161" s="1458">
        <v>17280</v>
      </c>
      <c r="C161" s="64">
        <f t="shared" si="5"/>
        <v>5.3964792813590637E-3</v>
      </c>
    </row>
    <row r="162" spans="1:3" ht="15.75" thickBot="1">
      <c r="A162" s="1328">
        <v>40977</v>
      </c>
      <c r="B162" s="1457">
        <v>17298</v>
      </c>
      <c r="C162" s="64">
        <f t="shared" si="5"/>
        <v>1.0411245084105101E-3</v>
      </c>
    </row>
    <row r="163" spans="1:3" ht="15.75" thickBot="1">
      <c r="A163" s="1326">
        <v>40980</v>
      </c>
      <c r="B163" s="1458">
        <v>17250</v>
      </c>
      <c r="C163" s="64">
        <f t="shared" si="5"/>
        <v>-2.7787444069514167E-3</v>
      </c>
    </row>
    <row r="164" spans="1:3" ht="15.75" thickBot="1">
      <c r="A164" s="1328">
        <v>40981</v>
      </c>
      <c r="B164" s="1457">
        <v>17490</v>
      </c>
      <c r="C164" s="64">
        <f t="shared" si="5"/>
        <v>1.3817145553141903E-2</v>
      </c>
    </row>
    <row r="165" spans="1:3" ht="15.75" thickBot="1">
      <c r="A165" s="1326">
        <v>40982</v>
      </c>
      <c r="B165" s="1458">
        <v>17500</v>
      </c>
      <c r="C165" s="64">
        <f t="shared" si="5"/>
        <v>5.7159189895756776E-4</v>
      </c>
    </row>
    <row r="166" spans="1:3" ht="15.75" thickBot="1">
      <c r="A166" s="1328">
        <v>40983</v>
      </c>
      <c r="B166" s="1457">
        <v>17400.5</v>
      </c>
      <c r="C166" s="64">
        <f t="shared" si="5"/>
        <v>-5.7019394896614959E-3</v>
      </c>
    </row>
    <row r="167" spans="1:3" ht="15.75" thickBot="1">
      <c r="A167" s="1326">
        <v>40984</v>
      </c>
      <c r="B167" s="1458">
        <v>17399.5</v>
      </c>
      <c r="C167" s="64">
        <f t="shared" si="5"/>
        <v>-5.7471264383651642E-5</v>
      </c>
    </row>
    <row r="168" spans="1:3" ht="15.75" thickBot="1">
      <c r="A168" s="1328">
        <v>40988</v>
      </c>
      <c r="B168" s="1457">
        <v>17142</v>
      </c>
      <c r="C168" s="64">
        <f t="shared" si="5"/>
        <v>-1.4909877698732261E-2</v>
      </c>
    </row>
    <row r="169" spans="1:3" ht="15.75" thickBot="1">
      <c r="A169" s="1326">
        <v>40989</v>
      </c>
      <c r="B169" s="1458">
        <v>17100</v>
      </c>
      <c r="C169" s="64">
        <f t="shared" si="5"/>
        <v>-2.4531289680768632E-3</v>
      </c>
    </row>
    <row r="170" spans="1:3" ht="15.75" thickBot="1">
      <c r="A170" s="1328">
        <v>40990</v>
      </c>
      <c r="B170" s="1457">
        <v>17100</v>
      </c>
      <c r="C170" s="64">
        <f t="shared" si="5"/>
        <v>0</v>
      </c>
    </row>
    <row r="171" spans="1:3" ht="15.75" thickBot="1">
      <c r="A171" s="1326">
        <v>40991</v>
      </c>
      <c r="B171" s="1458">
        <v>17304</v>
      </c>
      <c r="C171" s="64">
        <f t="shared" si="5"/>
        <v>1.1859225142143433E-2</v>
      </c>
    </row>
    <row r="172" spans="1:3" ht="15.75" thickBot="1">
      <c r="A172" s="1328">
        <v>40994</v>
      </c>
      <c r="B172" s="1457">
        <v>17450</v>
      </c>
      <c r="C172" s="64">
        <f t="shared" si="5"/>
        <v>8.4019599976784855E-3</v>
      </c>
    </row>
    <row r="173" spans="1:3" ht="15.75" thickBot="1">
      <c r="A173" s="1326">
        <v>40995</v>
      </c>
      <c r="B173" s="1458">
        <v>17420</v>
      </c>
      <c r="C173" s="64">
        <f t="shared" si="5"/>
        <v>-1.7206772240794736E-3</v>
      </c>
    </row>
    <row r="174" spans="1:3" ht="15.75" thickBot="1">
      <c r="A174" s="1328">
        <v>40996</v>
      </c>
      <c r="B174" s="1457">
        <v>17365</v>
      </c>
      <c r="C174" s="64">
        <f t="shared" si="5"/>
        <v>-3.1622852283194171E-3</v>
      </c>
    </row>
    <row r="175" spans="1:3" ht="15.75" thickBot="1">
      <c r="A175" s="1326">
        <v>40997</v>
      </c>
      <c r="B175" s="1458">
        <v>17500</v>
      </c>
      <c r="C175" s="64">
        <f t="shared" si="5"/>
        <v>7.7441947334309907E-3</v>
      </c>
    </row>
    <row r="176" spans="1:3" ht="15.75" thickBot="1">
      <c r="A176" s="1328">
        <v>40998</v>
      </c>
      <c r="B176" s="1457">
        <v>17465.5</v>
      </c>
      <c r="C176" s="64">
        <f t="shared" si="5"/>
        <v>-1.9733743945228228E-3</v>
      </c>
    </row>
    <row r="177" spans="1:3" ht="15.75" thickBot="1">
      <c r="A177" s="1326">
        <v>41001</v>
      </c>
      <c r="B177" s="1458">
        <v>17400</v>
      </c>
      <c r="C177" s="64">
        <f t="shared" si="5"/>
        <v>-3.7573003144622703E-3</v>
      </c>
    </row>
    <row r="178" spans="1:3" ht="15.75" thickBot="1">
      <c r="A178" s="1328">
        <v>41002</v>
      </c>
      <c r="B178" s="1457">
        <v>17400</v>
      </c>
      <c r="C178" s="64">
        <f t="shared" si="5"/>
        <v>0</v>
      </c>
    </row>
    <row r="179" spans="1:3" ht="15.75" thickBot="1">
      <c r="A179" s="1326">
        <v>41008</v>
      </c>
      <c r="B179" s="1458">
        <v>17465</v>
      </c>
      <c r="C179" s="64">
        <f t="shared" si="5"/>
        <v>3.7286720383120577E-3</v>
      </c>
    </row>
    <row r="180" spans="1:3" ht="15.75" thickBot="1">
      <c r="A180" s="1328">
        <v>41009</v>
      </c>
      <c r="B180" s="1457">
        <v>17460</v>
      </c>
      <c r="C180" s="64">
        <f t="shared" si="5"/>
        <v>-2.8632784733909934E-4</v>
      </c>
    </row>
    <row r="181" spans="1:3" ht="15.75" thickBot="1">
      <c r="A181" s="1326">
        <v>41010</v>
      </c>
      <c r="B181" s="1458">
        <v>17600</v>
      </c>
      <c r="C181" s="64">
        <f t="shared" si="5"/>
        <v>7.9863516326499229E-3</v>
      </c>
    </row>
    <row r="182" spans="1:3" ht="15.75" thickBot="1">
      <c r="A182" s="1328">
        <v>41011</v>
      </c>
      <c r="B182" s="1457">
        <v>17500</v>
      </c>
      <c r="C182" s="64">
        <f t="shared" si="5"/>
        <v>-5.6980211146377786E-3</v>
      </c>
    </row>
    <row r="183" spans="1:3" ht="15.75" thickBot="1">
      <c r="A183" s="1326">
        <v>41012</v>
      </c>
      <c r="B183" s="1458">
        <v>17600</v>
      </c>
      <c r="C183" s="64">
        <f t="shared" si="5"/>
        <v>5.6980211146377959E-3</v>
      </c>
    </row>
    <row r="184" spans="1:3" ht="15.75" thickBot="1">
      <c r="A184" s="1328">
        <v>41015</v>
      </c>
      <c r="B184" s="1457">
        <v>17620</v>
      </c>
      <c r="C184" s="64">
        <f t="shared" si="5"/>
        <v>1.1357184639274286E-3</v>
      </c>
    </row>
    <row r="185" spans="1:3" ht="15.75" thickBot="1">
      <c r="A185" s="1326">
        <v>41016</v>
      </c>
      <c r="B185" s="1458">
        <v>17703</v>
      </c>
      <c r="C185" s="64">
        <f t="shared" si="5"/>
        <v>4.6994962351078664E-3</v>
      </c>
    </row>
    <row r="186" spans="1:3" ht="15.75" thickBot="1">
      <c r="A186" s="1328">
        <v>41017</v>
      </c>
      <c r="B186" s="1457">
        <v>17650</v>
      </c>
      <c r="C186" s="64">
        <f t="shared" si="5"/>
        <v>-2.9983333638355959E-3</v>
      </c>
    </row>
    <row r="187" spans="1:3" ht="15.75" thickBot="1">
      <c r="A187" s="1326">
        <v>41018</v>
      </c>
      <c r="B187" s="1458">
        <v>17783</v>
      </c>
      <c r="C187" s="64">
        <f t="shared" si="5"/>
        <v>7.5071613822178989E-3</v>
      </c>
    </row>
    <row r="188" spans="1:3" ht="15.75" thickBot="1">
      <c r="A188" s="1328">
        <v>41019</v>
      </c>
      <c r="B188" s="1457">
        <v>17783</v>
      </c>
      <c r="C188" s="64">
        <f t="shared" si="5"/>
        <v>0</v>
      </c>
    </row>
    <row r="189" spans="1:3" ht="15.75" thickBot="1">
      <c r="A189" s="1326">
        <v>41022</v>
      </c>
      <c r="B189" s="1458">
        <v>17800</v>
      </c>
      <c r="C189" s="64">
        <f t="shared" si="5"/>
        <v>9.5551253651587713E-4</v>
      </c>
    </row>
    <row r="190" spans="1:3" ht="15.75" thickBot="1">
      <c r="A190" s="1328">
        <v>41023</v>
      </c>
      <c r="B190" s="1457">
        <v>17681</v>
      </c>
      <c r="C190" s="64">
        <f t="shared" si="5"/>
        <v>-6.7078406020871662E-3</v>
      </c>
    </row>
    <row r="191" spans="1:3" ht="15.75" thickBot="1">
      <c r="A191" s="1326">
        <v>41024</v>
      </c>
      <c r="B191" s="1458">
        <v>17730</v>
      </c>
      <c r="C191" s="64">
        <f t="shared" si="5"/>
        <v>2.7675033901641021E-3</v>
      </c>
    </row>
    <row r="192" spans="1:3" ht="15.75" thickBot="1">
      <c r="A192" s="1328">
        <v>41025</v>
      </c>
      <c r="B192" s="1457">
        <v>17830.5</v>
      </c>
      <c r="C192" s="64">
        <f t="shared" si="5"/>
        <v>5.6523540205351839E-3</v>
      </c>
    </row>
    <row r="193" spans="1:3" ht="15.75" thickBot="1">
      <c r="A193" s="1326">
        <v>41026</v>
      </c>
      <c r="B193" s="1458">
        <v>17928</v>
      </c>
      <c r="C193" s="64">
        <f t="shared" si="5"/>
        <v>5.4532623919741705E-3</v>
      </c>
    </row>
    <row r="194" spans="1:3" ht="15.75" thickBot="1">
      <c r="A194" s="1328">
        <v>41029</v>
      </c>
      <c r="B194" s="1457">
        <v>17860.5</v>
      </c>
      <c r="C194" s="64">
        <f t="shared" si="5"/>
        <v>-3.7721659214235239E-3</v>
      </c>
    </row>
    <row r="195" spans="1:3" ht="15.75" thickBot="1">
      <c r="A195" s="1326">
        <v>41031</v>
      </c>
      <c r="B195" s="1458">
        <v>18085</v>
      </c>
      <c r="C195" s="64">
        <f t="shared" si="5"/>
        <v>1.249129482685892E-2</v>
      </c>
    </row>
    <row r="196" spans="1:3" ht="15.75" thickBot="1">
      <c r="A196" s="1328">
        <v>41032</v>
      </c>
      <c r="B196" s="1457">
        <v>18057</v>
      </c>
      <c r="C196" s="64">
        <f t="shared" ref="C196:C259" si="6">+LN(B196/B195)</f>
        <v>-1.549444170317802E-3</v>
      </c>
    </row>
    <row r="197" spans="1:3" ht="15.75" thickBot="1">
      <c r="A197" s="1326">
        <v>41033</v>
      </c>
      <c r="B197" s="1458">
        <v>18057</v>
      </c>
      <c r="C197" s="64">
        <f t="shared" si="6"/>
        <v>0</v>
      </c>
    </row>
    <row r="198" spans="1:3" ht="15.75" thickBot="1">
      <c r="A198" s="1328">
        <v>41036</v>
      </c>
      <c r="B198" s="1457">
        <v>18049.5</v>
      </c>
      <c r="C198" s="64">
        <f t="shared" si="6"/>
        <v>-4.1543766955359117E-4</v>
      </c>
    </row>
    <row r="199" spans="1:3" ht="15.75" thickBot="1">
      <c r="A199" s="1326">
        <v>41037</v>
      </c>
      <c r="B199" s="1458">
        <v>18300</v>
      </c>
      <c r="C199" s="64">
        <f t="shared" si="6"/>
        <v>1.3783076283185298E-2</v>
      </c>
    </row>
    <row r="200" spans="1:3" ht="15.75" thickBot="1">
      <c r="A200" s="1328">
        <v>41038</v>
      </c>
      <c r="B200" s="1457">
        <v>17920</v>
      </c>
      <c r="C200" s="64">
        <f t="shared" si="6"/>
        <v>-2.0983652300590846E-2</v>
      </c>
    </row>
    <row r="201" spans="1:3" ht="15.75" thickBot="1">
      <c r="A201" s="1326">
        <v>41039</v>
      </c>
      <c r="B201" s="1458">
        <v>17850</v>
      </c>
      <c r="C201" s="64">
        <f t="shared" si="6"/>
        <v>-3.9138993211363287E-3</v>
      </c>
    </row>
    <row r="202" spans="1:3" ht="15.75" thickBot="1">
      <c r="A202" s="1328">
        <v>41040</v>
      </c>
      <c r="B202" s="1457">
        <v>17800</v>
      </c>
      <c r="C202" s="64">
        <f t="shared" si="6"/>
        <v>-2.8050509276086096E-3</v>
      </c>
    </row>
    <row r="203" spans="1:3" ht="15.75" thickBot="1">
      <c r="A203" s="1326">
        <v>41043</v>
      </c>
      <c r="B203" s="1458">
        <v>17500</v>
      </c>
      <c r="C203" s="64">
        <f t="shared" si="6"/>
        <v>-1.6997576368571136E-2</v>
      </c>
    </row>
    <row r="204" spans="1:3" ht="15.75" thickBot="1">
      <c r="A204" s="1328">
        <v>41044</v>
      </c>
      <c r="B204" s="1457">
        <v>17380</v>
      </c>
      <c r="C204" s="64">
        <f t="shared" si="6"/>
        <v>-6.8807610922224285E-3</v>
      </c>
    </row>
    <row r="205" spans="1:3" ht="15.75" thickBot="1">
      <c r="A205" s="1326">
        <v>41045</v>
      </c>
      <c r="B205" s="1458">
        <v>17380</v>
      </c>
      <c r="C205" s="64">
        <f t="shared" si="6"/>
        <v>0</v>
      </c>
    </row>
    <row r="206" spans="1:3" ht="15.75" thickBot="1">
      <c r="A206" s="1328">
        <v>41046</v>
      </c>
      <c r="B206" s="1457">
        <v>17080</v>
      </c>
      <c r="C206" s="64">
        <f t="shared" si="6"/>
        <v>-1.7411931476822136E-2</v>
      </c>
    </row>
    <row r="207" spans="1:3" ht="15.75" thickBot="1">
      <c r="A207" s="1326">
        <v>41047</v>
      </c>
      <c r="B207" s="1458">
        <v>17130</v>
      </c>
      <c r="C207" s="64">
        <f t="shared" si="6"/>
        <v>2.9231239756047941E-3</v>
      </c>
    </row>
    <row r="208" spans="1:3" ht="15.75" thickBot="1">
      <c r="A208" s="1328">
        <v>41051</v>
      </c>
      <c r="B208" s="1457">
        <v>17350</v>
      </c>
      <c r="C208" s="64">
        <f t="shared" si="6"/>
        <v>1.2761194056839727E-2</v>
      </c>
    </row>
    <row r="209" spans="1:3" ht="15.75" thickBot="1">
      <c r="A209" s="1326">
        <v>41052</v>
      </c>
      <c r="B209" s="1458">
        <v>17165</v>
      </c>
      <c r="C209" s="64">
        <f t="shared" si="6"/>
        <v>-1.0720079483212786E-2</v>
      </c>
    </row>
    <row r="210" spans="1:3" ht="15.75" thickBot="1">
      <c r="A210" s="1328">
        <v>41053</v>
      </c>
      <c r="B210" s="1457">
        <v>17280</v>
      </c>
      <c r="C210" s="64">
        <f t="shared" si="6"/>
        <v>6.6773364662542347E-3</v>
      </c>
    </row>
    <row r="211" spans="1:3" ht="15.75" thickBot="1">
      <c r="A211" s="1326">
        <v>41054</v>
      </c>
      <c r="B211" s="1458">
        <v>17120</v>
      </c>
      <c r="C211" s="64">
        <f t="shared" si="6"/>
        <v>-9.3023926623135612E-3</v>
      </c>
    </row>
    <row r="212" spans="1:3" ht="15.75" thickBot="1">
      <c r="A212" s="1328">
        <v>41057</v>
      </c>
      <c r="B212" s="1457">
        <v>17060</v>
      </c>
      <c r="C212" s="64">
        <f t="shared" si="6"/>
        <v>-3.5108286500629702E-3</v>
      </c>
    </row>
    <row r="213" spans="1:3" ht="15.75" thickBot="1">
      <c r="A213" s="1326">
        <v>41058</v>
      </c>
      <c r="B213" s="1458">
        <v>17189</v>
      </c>
      <c r="C213" s="64">
        <f t="shared" si="6"/>
        <v>7.5331022824867656E-3</v>
      </c>
    </row>
    <row r="214" spans="1:3" ht="15.75" thickBot="1">
      <c r="A214" s="1328">
        <v>41059</v>
      </c>
      <c r="B214" s="1457">
        <v>16925</v>
      </c>
      <c r="C214" s="64">
        <f t="shared" si="6"/>
        <v>-1.5477825547681156E-2</v>
      </c>
    </row>
    <row r="215" spans="1:3" ht="15.75" thickBot="1">
      <c r="A215" s="1326">
        <v>41060</v>
      </c>
      <c r="B215" s="1458">
        <v>17075</v>
      </c>
      <c r="C215" s="64">
        <f t="shared" si="6"/>
        <v>8.8235866585150251E-3</v>
      </c>
    </row>
    <row r="216" spans="1:3" ht="15.75" thickBot="1">
      <c r="A216" s="1328">
        <v>41061</v>
      </c>
      <c r="B216" s="1457">
        <v>16840</v>
      </c>
      <c r="C216" s="64">
        <f t="shared" si="6"/>
        <v>-1.3858396642673087E-2</v>
      </c>
    </row>
    <row r="217" spans="1:3" ht="15.75" thickBot="1">
      <c r="A217" s="1326">
        <v>41064</v>
      </c>
      <c r="B217" s="1458">
        <v>16640</v>
      </c>
      <c r="C217" s="64">
        <f t="shared" si="6"/>
        <v>-1.1947573421118175E-2</v>
      </c>
    </row>
    <row r="218" spans="1:3" ht="15.75" thickBot="1">
      <c r="A218" s="1328">
        <v>41065</v>
      </c>
      <c r="B218" s="1457">
        <v>16640</v>
      </c>
      <c r="C218" s="64">
        <f t="shared" si="6"/>
        <v>0</v>
      </c>
    </row>
    <row r="219" spans="1:3" ht="15.75" thickBot="1">
      <c r="A219" s="1326">
        <v>41066</v>
      </c>
      <c r="B219" s="1458">
        <v>16729</v>
      </c>
      <c r="C219" s="64">
        <f t="shared" si="6"/>
        <v>5.3343049560812608E-3</v>
      </c>
    </row>
    <row r="220" spans="1:3" ht="15.75" thickBot="1">
      <c r="A220" s="1328">
        <v>41067</v>
      </c>
      <c r="B220" s="1457">
        <v>16800</v>
      </c>
      <c r="C220" s="64">
        <f t="shared" si="6"/>
        <v>4.2351460600695218E-3</v>
      </c>
    </row>
    <row r="221" spans="1:3" ht="15.75" thickBot="1">
      <c r="A221" s="1326">
        <v>41068</v>
      </c>
      <c r="B221" s="1458">
        <v>16680</v>
      </c>
      <c r="C221" s="64">
        <f t="shared" si="6"/>
        <v>-7.168489478612516E-3</v>
      </c>
    </row>
    <row r="222" spans="1:3" ht="15.75" thickBot="1">
      <c r="A222" s="1328">
        <v>41072</v>
      </c>
      <c r="B222" s="1457">
        <v>16600</v>
      </c>
      <c r="C222" s="64">
        <f t="shared" si="6"/>
        <v>-4.8077015681031203E-3</v>
      </c>
    </row>
    <row r="223" spans="1:3" ht="15.75" thickBot="1">
      <c r="A223" s="1326">
        <v>41073</v>
      </c>
      <c r="B223" s="1458">
        <v>16606</v>
      </c>
      <c r="C223" s="64">
        <f t="shared" si="6"/>
        <v>3.613804773412528E-4</v>
      </c>
    </row>
    <row r="224" spans="1:3" ht="15.75" thickBot="1">
      <c r="A224" s="1328">
        <v>41074</v>
      </c>
      <c r="B224" s="1457">
        <v>16540</v>
      </c>
      <c r="C224" s="64">
        <f t="shared" si="6"/>
        <v>-3.9823862442935933E-3</v>
      </c>
    </row>
    <row r="225" spans="1:3" ht="15.75" thickBot="1">
      <c r="A225" s="1326">
        <v>41075</v>
      </c>
      <c r="B225" s="1458">
        <v>16750</v>
      </c>
      <c r="C225" s="64">
        <f t="shared" si="6"/>
        <v>1.2616568675530095E-2</v>
      </c>
    </row>
    <row r="226" spans="1:3" ht="15.75" thickBot="1">
      <c r="A226" s="1328">
        <v>41079</v>
      </c>
      <c r="B226" s="1457">
        <v>16700</v>
      </c>
      <c r="C226" s="64">
        <f t="shared" si="6"/>
        <v>-2.9895388483660483E-3</v>
      </c>
    </row>
    <row r="227" spans="1:3" ht="15.75" thickBot="1">
      <c r="A227" s="1326">
        <v>41080</v>
      </c>
      <c r="B227" s="1458">
        <v>16710</v>
      </c>
      <c r="C227" s="64">
        <f t="shared" si="6"/>
        <v>5.9862318459282687E-4</v>
      </c>
    </row>
    <row r="228" spans="1:3" ht="15.75" thickBot="1">
      <c r="A228" s="1328">
        <v>41081</v>
      </c>
      <c r="B228" s="1457">
        <v>16400</v>
      </c>
      <c r="C228" s="64">
        <f t="shared" si="6"/>
        <v>-1.8726007777149632E-2</v>
      </c>
    </row>
    <row r="229" spans="1:3" ht="15.75" thickBot="1">
      <c r="A229" s="1326">
        <v>41086</v>
      </c>
      <c r="B229" s="1458">
        <v>16025</v>
      </c>
      <c r="C229" s="64">
        <f t="shared" si="6"/>
        <v>-2.3131332023418966E-2</v>
      </c>
    </row>
    <row r="230" spans="1:3" ht="15.75" thickBot="1">
      <c r="A230" s="1328">
        <v>41087</v>
      </c>
      <c r="B230" s="1457">
        <v>16200</v>
      </c>
      <c r="C230" s="64">
        <f t="shared" si="6"/>
        <v>1.0861239431604634E-2</v>
      </c>
    </row>
    <row r="231" spans="1:3" ht="15.75" thickBot="1">
      <c r="A231" s="1326">
        <v>41088</v>
      </c>
      <c r="B231" s="1458">
        <v>16100</v>
      </c>
      <c r="C231" s="64">
        <f t="shared" si="6"/>
        <v>-6.191970247921107E-3</v>
      </c>
    </row>
    <row r="232" spans="1:3" ht="15.75" thickBot="1">
      <c r="A232" s="1328">
        <v>41089</v>
      </c>
      <c r="B232" s="1457">
        <v>16400</v>
      </c>
      <c r="C232" s="64">
        <f t="shared" si="6"/>
        <v>1.8462062839735352E-2</v>
      </c>
    </row>
    <row r="233" spans="1:3" ht="15.75" thickBot="1">
      <c r="A233" s="1326">
        <v>41093</v>
      </c>
      <c r="B233" s="1458">
        <v>16600</v>
      </c>
      <c r="C233" s="64">
        <f t="shared" si="6"/>
        <v>1.212136053234482E-2</v>
      </c>
    </row>
    <row r="234" spans="1:3" ht="15.75" thickBot="1">
      <c r="A234" s="1328">
        <v>41094</v>
      </c>
      <c r="B234" s="1457">
        <v>16680</v>
      </c>
      <c r="C234" s="64">
        <f t="shared" si="6"/>
        <v>4.8077015681030778E-3</v>
      </c>
    </row>
    <row r="235" spans="1:3" ht="15.75" thickBot="1">
      <c r="A235" s="1326">
        <v>41095</v>
      </c>
      <c r="B235" s="1458">
        <v>16720</v>
      </c>
      <c r="C235" s="64">
        <f t="shared" si="6"/>
        <v>2.3952107259548501E-3</v>
      </c>
    </row>
    <row r="236" spans="1:3" ht="15.75" thickBot="1">
      <c r="A236" s="1328">
        <v>41096</v>
      </c>
      <c r="B236" s="1457">
        <v>16620</v>
      </c>
      <c r="C236" s="64">
        <f t="shared" si="6"/>
        <v>-5.9988182292533797E-3</v>
      </c>
    </row>
    <row r="237" spans="1:3" ht="15.75" thickBot="1">
      <c r="A237" s="1326">
        <v>41099</v>
      </c>
      <c r="B237" s="1458">
        <v>16650</v>
      </c>
      <c r="C237" s="64">
        <f t="shared" si="6"/>
        <v>1.8034269991507267E-3</v>
      </c>
    </row>
    <row r="238" spans="1:3" ht="15.75" thickBot="1">
      <c r="A238" s="1328">
        <v>41100</v>
      </c>
      <c r="B238" s="1457">
        <v>16580</v>
      </c>
      <c r="C238" s="64">
        <f t="shared" si="6"/>
        <v>-4.2130667193039121E-3</v>
      </c>
    </row>
    <row r="239" spans="1:3" ht="15.75" thickBot="1">
      <c r="A239" s="1326">
        <v>41101</v>
      </c>
      <c r="B239" s="1458">
        <v>16525</v>
      </c>
      <c r="C239" s="64">
        <f t="shared" si="6"/>
        <v>-3.3227639693989217E-3</v>
      </c>
    </row>
    <row r="240" spans="1:3" ht="15.75" thickBot="1">
      <c r="A240" s="1328">
        <v>41102</v>
      </c>
      <c r="B240" s="1457">
        <v>16600</v>
      </c>
      <c r="C240" s="64">
        <f t="shared" si="6"/>
        <v>4.5283096247476099E-3</v>
      </c>
    </row>
    <row r="241" spans="1:3" ht="15.75" thickBot="1">
      <c r="A241" s="1326">
        <v>41103</v>
      </c>
      <c r="B241" s="1458">
        <v>16570</v>
      </c>
      <c r="C241" s="64">
        <f t="shared" si="6"/>
        <v>-1.8088639240260052E-3</v>
      </c>
    </row>
    <row r="242" spans="1:3" ht="15.75" thickBot="1">
      <c r="A242" s="1328">
        <v>41106</v>
      </c>
      <c r="B242" s="1457">
        <v>16552</v>
      </c>
      <c r="C242" s="64">
        <f t="shared" si="6"/>
        <v>-1.0868909952296525E-3</v>
      </c>
    </row>
    <row r="243" spans="1:3" ht="15.75" thickBot="1">
      <c r="A243" s="1326">
        <v>41107</v>
      </c>
      <c r="B243" s="1458">
        <v>16600</v>
      </c>
      <c r="C243" s="64">
        <f t="shared" si="6"/>
        <v>2.8957549192555783E-3</v>
      </c>
    </row>
    <row r="244" spans="1:3" ht="15.75" thickBot="1">
      <c r="A244" s="1328">
        <v>41108</v>
      </c>
      <c r="B244" s="1457">
        <v>16625</v>
      </c>
      <c r="C244" s="64">
        <f t="shared" si="6"/>
        <v>1.5048911794203067E-3</v>
      </c>
    </row>
    <row r="245" spans="1:3" ht="15.75" thickBot="1">
      <c r="A245" s="1326">
        <v>41109</v>
      </c>
      <c r="B245" s="1458">
        <v>16680</v>
      </c>
      <c r="C245" s="64">
        <f t="shared" si="6"/>
        <v>3.3028103886829484E-3</v>
      </c>
    </row>
    <row r="246" spans="1:3" ht="15.75" thickBot="1">
      <c r="A246" s="1328">
        <v>41113</v>
      </c>
      <c r="B246" s="1457">
        <v>16499.5</v>
      </c>
      <c r="C246" s="64">
        <f t="shared" si="6"/>
        <v>-1.0880319513514935E-2</v>
      </c>
    </row>
    <row r="247" spans="1:3" ht="15.75" thickBot="1">
      <c r="A247" s="1326">
        <v>41114</v>
      </c>
      <c r="B247" s="1458">
        <v>16680</v>
      </c>
      <c r="C247" s="64">
        <f t="shared" si="6"/>
        <v>1.0880319513514827E-2</v>
      </c>
    </row>
    <row r="248" spans="1:3" ht="15.75" thickBot="1">
      <c r="A248" s="1328">
        <v>41115</v>
      </c>
      <c r="B248" s="1457">
        <v>16520</v>
      </c>
      <c r="C248" s="64">
        <f t="shared" si="6"/>
        <v>-9.6386288377687448E-3</v>
      </c>
    </row>
    <row r="249" spans="1:3" ht="15.75" thickBot="1">
      <c r="A249" s="1326">
        <v>41116</v>
      </c>
      <c r="B249" s="1458">
        <v>16550</v>
      </c>
      <c r="C249" s="64">
        <f t="shared" si="6"/>
        <v>1.8143337302398642E-3</v>
      </c>
    </row>
    <row r="250" spans="1:3" ht="15.75" thickBot="1">
      <c r="A250" s="1328">
        <v>41117</v>
      </c>
      <c r="B250" s="1457">
        <v>16699.5</v>
      </c>
      <c r="C250" s="64">
        <f t="shared" si="6"/>
        <v>8.9926770316627481E-3</v>
      </c>
    </row>
    <row r="251" spans="1:3" ht="15.75" thickBot="1">
      <c r="A251" s="1326">
        <v>41120</v>
      </c>
      <c r="B251" s="1458">
        <v>16870</v>
      </c>
      <c r="C251" s="64">
        <f t="shared" si="6"/>
        <v>1.0158117703142415E-2</v>
      </c>
    </row>
    <row r="252" spans="1:3" ht="15.75" thickBot="1">
      <c r="A252" s="1328">
        <v>41121</v>
      </c>
      <c r="B252" s="1457">
        <v>16760</v>
      </c>
      <c r="C252" s="64">
        <f t="shared" si="6"/>
        <v>-6.541801503939927E-3</v>
      </c>
    </row>
    <row r="253" spans="1:3" ht="15.75" thickBot="1">
      <c r="A253" s="1326">
        <v>41123</v>
      </c>
      <c r="B253" s="1458">
        <v>16512</v>
      </c>
      <c r="C253" s="64">
        <f t="shared" si="6"/>
        <v>-1.4907705754784704E-2</v>
      </c>
    </row>
    <row r="254" spans="1:3" ht="15.75" thickBot="1">
      <c r="A254" s="1328">
        <v>41124</v>
      </c>
      <c r="B254" s="1457">
        <v>16599.5</v>
      </c>
      <c r="C254" s="64">
        <f t="shared" si="6"/>
        <v>5.2851851277866905E-3</v>
      </c>
    </row>
    <row r="255" spans="1:3" ht="15.75" thickBot="1">
      <c r="A255" s="1326">
        <v>41127</v>
      </c>
      <c r="B255" s="1458">
        <v>16429</v>
      </c>
      <c r="C255" s="64">
        <f t="shared" si="6"/>
        <v>-1.0324508502739211E-2</v>
      </c>
    </row>
    <row r="256" spans="1:3" ht="15.75" thickBot="1">
      <c r="A256" s="1328">
        <v>41129</v>
      </c>
      <c r="B256" s="1457">
        <v>16249.5</v>
      </c>
      <c r="C256" s="64">
        <f t="shared" si="6"/>
        <v>-1.0985926852604981E-2</v>
      </c>
    </row>
    <row r="257" spans="1:3" ht="15.75" thickBot="1">
      <c r="A257" s="1326">
        <v>41130</v>
      </c>
      <c r="B257" s="1458">
        <v>16389.5</v>
      </c>
      <c r="C257" s="64">
        <f t="shared" si="6"/>
        <v>8.5787468124683859E-3</v>
      </c>
    </row>
    <row r="258" spans="1:3" ht="15.75" thickBot="1">
      <c r="A258" s="1328">
        <v>41131</v>
      </c>
      <c r="B258" s="1457">
        <v>16534</v>
      </c>
      <c r="C258" s="64">
        <f t="shared" si="6"/>
        <v>8.7779809464207763E-3</v>
      </c>
    </row>
    <row r="259" spans="1:3" ht="15.75" thickBot="1">
      <c r="A259" s="1326">
        <v>41134</v>
      </c>
      <c r="B259" s="1458">
        <v>16500.5</v>
      </c>
      <c r="C259" s="64">
        <f t="shared" si="6"/>
        <v>-2.0281833527734127E-3</v>
      </c>
    </row>
    <row r="260" spans="1:3" ht="15.75" thickBot="1">
      <c r="A260" s="1328">
        <v>41135</v>
      </c>
      <c r="B260" s="1457">
        <v>16639.5</v>
      </c>
      <c r="C260" s="64">
        <f t="shared" ref="C260:C323" si="7">+LN(B260/B259)</f>
        <v>8.3887033869765645E-3</v>
      </c>
    </row>
    <row r="261" spans="1:3" ht="15.75" thickBot="1">
      <c r="A261" s="1326">
        <v>41136</v>
      </c>
      <c r="B261" s="1458">
        <v>16739</v>
      </c>
      <c r="C261" s="64">
        <f t="shared" si="7"/>
        <v>5.9619392557959351E-3</v>
      </c>
    </row>
    <row r="262" spans="1:3" ht="15.75" thickBot="1">
      <c r="A262" s="1328">
        <v>41137</v>
      </c>
      <c r="B262" s="1457">
        <v>16935</v>
      </c>
      <c r="C262" s="64">
        <f t="shared" si="7"/>
        <v>1.1641160149252074E-2</v>
      </c>
    </row>
    <row r="263" spans="1:3" ht="15.75" thickBot="1">
      <c r="A263" s="1326">
        <v>41138</v>
      </c>
      <c r="B263" s="1458">
        <v>16880</v>
      </c>
      <c r="C263" s="64">
        <f t="shared" si="7"/>
        <v>-3.2529971019239685E-3</v>
      </c>
    </row>
    <row r="264" spans="1:3" ht="15.75" thickBot="1">
      <c r="A264" s="1328">
        <v>41142</v>
      </c>
      <c r="B264" s="1457">
        <v>17579.5</v>
      </c>
      <c r="C264" s="64">
        <f t="shared" si="7"/>
        <v>4.0603961274061399E-2</v>
      </c>
    </row>
    <row r="265" spans="1:3" ht="15.75" thickBot="1">
      <c r="A265" s="1326">
        <v>41143</v>
      </c>
      <c r="B265" s="1458">
        <v>16772</v>
      </c>
      <c r="C265" s="64">
        <f t="shared" si="7"/>
        <v>-4.7022621133356181E-2</v>
      </c>
    </row>
    <row r="266" spans="1:3" ht="15.75" thickBot="1">
      <c r="A266" s="1328">
        <v>41144</v>
      </c>
      <c r="B266" s="1457">
        <v>16735</v>
      </c>
      <c r="C266" s="64">
        <f t="shared" si="7"/>
        <v>-2.2084946452263429E-3</v>
      </c>
    </row>
    <row r="267" spans="1:3" ht="15.75" thickBot="1">
      <c r="A267" s="1326">
        <v>41145</v>
      </c>
      <c r="B267" s="1458">
        <v>16750</v>
      </c>
      <c r="C267" s="64">
        <f t="shared" si="7"/>
        <v>8.9592360778560773E-4</v>
      </c>
    </row>
    <row r="268" spans="1:3" ht="15.75" thickBot="1">
      <c r="A268" s="1328">
        <v>41148</v>
      </c>
      <c r="B268" s="1457">
        <v>16789.5</v>
      </c>
      <c r="C268" s="64">
        <f t="shared" si="7"/>
        <v>2.3554327442194176E-3</v>
      </c>
    </row>
    <row r="269" spans="1:3" ht="15.75" thickBot="1">
      <c r="A269" s="1326">
        <v>41149</v>
      </c>
      <c r="B269" s="1458">
        <v>16781</v>
      </c>
      <c r="C269" s="64">
        <f t="shared" si="7"/>
        <v>-5.0639699627019362E-4</v>
      </c>
    </row>
    <row r="270" spans="1:3" ht="15.75" thickBot="1">
      <c r="A270" s="1328">
        <v>41150</v>
      </c>
      <c r="B270" s="1457">
        <v>16790</v>
      </c>
      <c r="C270" s="64">
        <f t="shared" si="7"/>
        <v>5.361770704246688E-4</v>
      </c>
    </row>
    <row r="271" spans="1:3" ht="15.75" thickBot="1">
      <c r="A271" s="1326">
        <v>41151</v>
      </c>
      <c r="B271" s="1458">
        <v>16702</v>
      </c>
      <c r="C271" s="64">
        <f t="shared" si="7"/>
        <v>-5.2549983584118179E-3</v>
      </c>
    </row>
    <row r="272" spans="1:3" ht="15.75" thickBot="1">
      <c r="A272" s="1328">
        <v>41152</v>
      </c>
      <c r="B272" s="1457">
        <v>16740</v>
      </c>
      <c r="C272" s="64">
        <f t="shared" si="7"/>
        <v>2.2725923302915254E-3</v>
      </c>
    </row>
    <row r="273" spans="1:3" ht="15.75" thickBot="1">
      <c r="A273" s="1326">
        <v>41155</v>
      </c>
      <c r="B273" s="1458">
        <v>16666</v>
      </c>
      <c r="C273" s="64">
        <f t="shared" si="7"/>
        <v>-4.4303491013142297E-3</v>
      </c>
    </row>
    <row r="274" spans="1:3" ht="15.75" thickBot="1">
      <c r="A274" s="1328">
        <v>41156</v>
      </c>
      <c r="B274" s="1457">
        <v>16515</v>
      </c>
      <c r="C274" s="64">
        <f t="shared" si="7"/>
        <v>-9.101657117262069E-3</v>
      </c>
    </row>
    <row r="275" spans="1:3" ht="15.75" thickBot="1">
      <c r="A275" s="1326">
        <v>41157</v>
      </c>
      <c r="B275" s="1458">
        <v>16534</v>
      </c>
      <c r="C275" s="64">
        <f t="shared" si="7"/>
        <v>1.1498079877309444E-3</v>
      </c>
    </row>
    <row r="276" spans="1:3" ht="15.75" thickBot="1">
      <c r="A276" s="1328">
        <v>41158</v>
      </c>
      <c r="B276" s="1457">
        <v>16815</v>
      </c>
      <c r="C276" s="64">
        <f t="shared" si="7"/>
        <v>1.685247836174909E-2</v>
      </c>
    </row>
    <row r="277" spans="1:3" ht="15.75" thickBot="1">
      <c r="A277" s="1326">
        <v>41159</v>
      </c>
      <c r="B277" s="1458">
        <v>16899.5</v>
      </c>
      <c r="C277" s="64">
        <f t="shared" si="7"/>
        <v>5.0126905003100262E-3</v>
      </c>
    </row>
    <row r="278" spans="1:3" ht="15.75" thickBot="1">
      <c r="A278" s="1328">
        <v>41162</v>
      </c>
      <c r="B278" s="1457">
        <v>16800</v>
      </c>
      <c r="C278" s="64">
        <f t="shared" si="7"/>
        <v>-5.9051492833296342E-3</v>
      </c>
    </row>
    <row r="279" spans="1:3" ht="15.75" thickBot="1">
      <c r="A279" s="1326">
        <v>41163</v>
      </c>
      <c r="B279" s="1458">
        <v>16862</v>
      </c>
      <c r="C279" s="64">
        <f t="shared" si="7"/>
        <v>3.6836830912706088E-3</v>
      </c>
    </row>
    <row r="280" spans="1:3" ht="15.75" thickBot="1">
      <c r="A280" s="1328">
        <v>41164</v>
      </c>
      <c r="B280" s="1457">
        <v>16850</v>
      </c>
      <c r="C280" s="64">
        <f t="shared" si="7"/>
        <v>-7.1191270211322366E-4</v>
      </c>
    </row>
    <row r="281" spans="1:3" ht="15.75" thickBot="1">
      <c r="A281" s="1326">
        <v>41165</v>
      </c>
      <c r="B281" s="1458">
        <v>16960</v>
      </c>
      <c r="C281" s="64">
        <f t="shared" si="7"/>
        <v>6.5069735653863073E-3</v>
      </c>
    </row>
    <row r="282" spans="1:3" ht="15.75" thickBot="1">
      <c r="A282" s="1328">
        <v>41166</v>
      </c>
      <c r="B282" s="1457">
        <v>17130</v>
      </c>
      <c r="C282" s="64">
        <f t="shared" si="7"/>
        <v>9.9736819722716138E-3</v>
      </c>
    </row>
    <row r="283" spans="1:3" ht="15.75" thickBot="1">
      <c r="A283" s="1326">
        <v>41169</v>
      </c>
      <c r="B283" s="1458">
        <v>17033</v>
      </c>
      <c r="C283" s="64">
        <f t="shared" si="7"/>
        <v>-5.6786734575883435E-3</v>
      </c>
    </row>
    <row r="284" spans="1:3" ht="15.75" thickBot="1">
      <c r="A284" s="1328">
        <v>41170</v>
      </c>
      <c r="B284" s="1457">
        <v>16924</v>
      </c>
      <c r="C284" s="64">
        <f t="shared" si="7"/>
        <v>-6.419906020619104E-3</v>
      </c>
    </row>
    <row r="285" spans="1:3" ht="15.75" thickBot="1">
      <c r="A285" s="1326">
        <v>41171</v>
      </c>
      <c r="B285" s="1458">
        <v>17060</v>
      </c>
      <c r="C285" s="64">
        <f t="shared" si="7"/>
        <v>8.0038092057120504E-3</v>
      </c>
    </row>
    <row r="286" spans="1:3" ht="15.75" thickBot="1">
      <c r="A286" s="1328">
        <v>41172</v>
      </c>
      <c r="B286" s="1457">
        <v>17079.5</v>
      </c>
      <c r="C286" s="64">
        <f t="shared" si="7"/>
        <v>1.1423718637149235E-3</v>
      </c>
    </row>
    <row r="287" spans="1:3" ht="15.75" thickBot="1">
      <c r="A287" s="1326">
        <v>41173</v>
      </c>
      <c r="B287" s="1458">
        <v>17120</v>
      </c>
      <c r="C287" s="64">
        <f t="shared" si="7"/>
        <v>2.3684567863480072E-3</v>
      </c>
    </row>
    <row r="288" spans="1:3" ht="15.75" thickBot="1">
      <c r="A288" s="1328">
        <v>41176</v>
      </c>
      <c r="B288" s="1457">
        <v>17009.5</v>
      </c>
      <c r="C288" s="64">
        <f t="shared" si="7"/>
        <v>-6.4753592116905947E-3</v>
      </c>
    </row>
    <row r="289" spans="1:3" ht="15.75" thickBot="1">
      <c r="A289" s="1326">
        <v>41177</v>
      </c>
      <c r="B289" s="1458">
        <v>16810</v>
      </c>
      <c r="C289" s="64">
        <f t="shared" si="7"/>
        <v>-1.1798064081381258E-2</v>
      </c>
    </row>
    <row r="290" spans="1:3" ht="15.75" thickBot="1">
      <c r="A290" s="1328">
        <v>41178</v>
      </c>
      <c r="B290" s="1457">
        <v>16857</v>
      </c>
      <c r="C290" s="64">
        <f t="shared" si="7"/>
        <v>2.7920533776465365E-3</v>
      </c>
    </row>
    <row r="291" spans="1:3" ht="15.75" thickBot="1">
      <c r="A291" s="1326">
        <v>41179</v>
      </c>
      <c r="B291" s="1458">
        <v>17030</v>
      </c>
      <c r="C291" s="64">
        <f t="shared" si="7"/>
        <v>1.0210493876426105E-2</v>
      </c>
    </row>
    <row r="292" spans="1:3" ht="15.75" thickBot="1">
      <c r="A292" s="1328">
        <v>41180</v>
      </c>
      <c r="B292" s="1457">
        <v>16984</v>
      </c>
      <c r="C292" s="64">
        <f t="shared" si="7"/>
        <v>-2.7047702736419858E-3</v>
      </c>
    </row>
    <row r="293" spans="1:3" ht="15.75" thickBot="1">
      <c r="A293" s="1326">
        <v>41183</v>
      </c>
      <c r="B293" s="1458">
        <v>16882</v>
      </c>
      <c r="C293" s="64">
        <f t="shared" si="7"/>
        <v>-6.0237588394268038E-3</v>
      </c>
    </row>
    <row r="294" spans="1:3" ht="15.75" thickBot="1">
      <c r="A294" s="1328">
        <v>41184</v>
      </c>
      <c r="B294" s="1457">
        <v>16960</v>
      </c>
      <c r="C294" s="64">
        <f t="shared" si="7"/>
        <v>4.6096648022288279E-3</v>
      </c>
    </row>
    <row r="295" spans="1:3" ht="15.75" thickBot="1">
      <c r="A295" s="1326">
        <v>41185</v>
      </c>
      <c r="B295" s="1458">
        <v>17000</v>
      </c>
      <c r="C295" s="64">
        <f t="shared" si="7"/>
        <v>2.3557136924589835E-3</v>
      </c>
    </row>
    <row r="296" spans="1:3" ht="15.75" thickBot="1">
      <c r="A296" s="1328">
        <v>41186</v>
      </c>
      <c r="B296" s="1457">
        <v>17070.5</v>
      </c>
      <c r="C296" s="64">
        <f t="shared" si="7"/>
        <v>4.1384834752272491E-3</v>
      </c>
    </row>
    <row r="297" spans="1:3" ht="15.75" thickBot="1">
      <c r="A297" s="1326">
        <v>41187</v>
      </c>
      <c r="B297" s="1458">
        <v>17142</v>
      </c>
      <c r="C297" s="64">
        <f t="shared" si="7"/>
        <v>4.1797649452477844E-3</v>
      </c>
    </row>
    <row r="298" spans="1:3" ht="15.75" thickBot="1">
      <c r="A298" s="1328">
        <v>41190</v>
      </c>
      <c r="B298" s="1457">
        <v>17065</v>
      </c>
      <c r="C298" s="64">
        <f t="shared" si="7"/>
        <v>-4.5020101180206591E-3</v>
      </c>
    </row>
    <row r="299" spans="1:3" ht="15.75" thickBot="1">
      <c r="A299" s="1326">
        <v>41191</v>
      </c>
      <c r="B299" s="1458">
        <v>17115</v>
      </c>
      <c r="C299" s="64">
        <f t="shared" si="7"/>
        <v>2.925689623478243E-3</v>
      </c>
    </row>
    <row r="300" spans="1:3" ht="15.75" thickBot="1">
      <c r="A300" s="1328">
        <v>41192</v>
      </c>
      <c r="B300" s="1457">
        <v>17075</v>
      </c>
      <c r="C300" s="64">
        <f t="shared" si="7"/>
        <v>-2.339866525294932E-3</v>
      </c>
    </row>
    <row r="301" spans="1:3" ht="15.75" thickBot="1">
      <c r="A301" s="1326">
        <v>41193</v>
      </c>
      <c r="B301" s="1458">
        <v>17110</v>
      </c>
      <c r="C301" s="64">
        <f t="shared" si="7"/>
        <v>2.0476824472484547E-3</v>
      </c>
    </row>
    <row r="302" spans="1:3" ht="15.75" thickBot="1">
      <c r="A302" s="1328">
        <v>41194</v>
      </c>
      <c r="B302" s="1457">
        <v>17159.5</v>
      </c>
      <c r="C302" s="64">
        <f t="shared" si="7"/>
        <v>2.8888682020705796E-3</v>
      </c>
    </row>
    <row r="303" spans="1:3" ht="15.75" thickBot="1">
      <c r="A303" s="1326">
        <v>41198</v>
      </c>
      <c r="B303" s="1458">
        <v>17350</v>
      </c>
      <c r="C303" s="64">
        <f t="shared" si="7"/>
        <v>1.1040550286695504E-2</v>
      </c>
    </row>
    <row r="304" spans="1:3" ht="15.75" thickBot="1">
      <c r="A304" s="1328">
        <v>41199</v>
      </c>
      <c r="B304" s="1457">
        <v>17580</v>
      </c>
      <c r="C304" s="64">
        <f t="shared" si="7"/>
        <v>1.3169385864162751E-2</v>
      </c>
    </row>
    <row r="305" spans="1:3" ht="15.75" thickBot="1">
      <c r="A305" s="1326">
        <v>41200</v>
      </c>
      <c r="B305" s="1458">
        <v>17734</v>
      </c>
      <c r="C305" s="64">
        <f t="shared" si="7"/>
        <v>8.7218087007843378E-3</v>
      </c>
    </row>
    <row r="306" spans="1:3" ht="15.75" thickBot="1">
      <c r="A306" s="1328">
        <v>41201</v>
      </c>
      <c r="B306" s="1457">
        <v>17940</v>
      </c>
      <c r="C306" s="64">
        <f t="shared" si="7"/>
        <v>1.1549155672834824E-2</v>
      </c>
    </row>
    <row r="307" spans="1:3" ht="15.75" thickBot="1">
      <c r="A307" s="1326">
        <v>41204</v>
      </c>
      <c r="B307" s="1458">
        <v>18010</v>
      </c>
      <c r="C307" s="64">
        <f t="shared" si="7"/>
        <v>3.8943025572146851E-3</v>
      </c>
    </row>
    <row r="308" spans="1:3" ht="15.75" thickBot="1">
      <c r="A308" s="1328">
        <v>41205</v>
      </c>
      <c r="B308" s="1457">
        <v>17894.5</v>
      </c>
      <c r="C308" s="64">
        <f t="shared" si="7"/>
        <v>-6.4337561258029936E-3</v>
      </c>
    </row>
    <row r="309" spans="1:3" ht="15.75" thickBot="1">
      <c r="A309" s="1326">
        <v>41206</v>
      </c>
      <c r="B309" s="1458">
        <v>18070</v>
      </c>
      <c r="C309" s="64">
        <f t="shared" si="7"/>
        <v>9.759701542075486E-3</v>
      </c>
    </row>
    <row r="310" spans="1:3" ht="15.75" thickBot="1">
      <c r="A310" s="1328">
        <v>41207</v>
      </c>
      <c r="B310" s="1457">
        <v>18275</v>
      </c>
      <c r="C310" s="64">
        <f t="shared" si="7"/>
        <v>1.1280901031705174E-2</v>
      </c>
    </row>
    <row r="311" spans="1:3" ht="15.75" thickBot="1">
      <c r="A311" s="1326">
        <v>41208</v>
      </c>
      <c r="B311" s="1458">
        <v>18389.5</v>
      </c>
      <c r="C311" s="64">
        <f t="shared" si="7"/>
        <v>6.2458439212632203E-3</v>
      </c>
    </row>
    <row r="312" spans="1:3" ht="15.75" thickBot="1">
      <c r="A312" s="1328">
        <v>41211</v>
      </c>
      <c r="B312" s="1457">
        <v>18342.5</v>
      </c>
      <c r="C312" s="64">
        <f t="shared" si="7"/>
        <v>-2.5590779510932019E-3</v>
      </c>
    </row>
    <row r="313" spans="1:3" ht="15.75" thickBot="1">
      <c r="A313" s="1326">
        <v>41212</v>
      </c>
      <c r="B313" s="1458">
        <v>18310.5</v>
      </c>
      <c r="C313" s="64">
        <f t="shared" si="7"/>
        <v>-1.7461058101853064E-3</v>
      </c>
    </row>
    <row r="314" spans="1:3" ht="15.75" thickBot="1">
      <c r="A314" s="1328">
        <v>41213</v>
      </c>
      <c r="B314" s="1457">
        <v>18150</v>
      </c>
      <c r="C314" s="64">
        <f t="shared" si="7"/>
        <v>-8.8041050849672134E-3</v>
      </c>
    </row>
    <row r="315" spans="1:3" ht="15.75" thickBot="1">
      <c r="A315" s="1326">
        <v>41214</v>
      </c>
      <c r="B315" s="1458">
        <v>17740</v>
      </c>
      <c r="C315" s="64">
        <f t="shared" si="7"/>
        <v>-2.2848583829426339E-2</v>
      </c>
    </row>
    <row r="316" spans="1:3" ht="15.75" thickBot="1">
      <c r="A316" s="1328">
        <v>41215</v>
      </c>
      <c r="B316" s="1457">
        <v>17500</v>
      </c>
      <c r="C316" s="64">
        <f t="shared" si="7"/>
        <v>-1.3621095951965074E-2</v>
      </c>
    </row>
    <row r="317" spans="1:3" ht="15.75" thickBot="1">
      <c r="A317" s="1326">
        <v>41219</v>
      </c>
      <c r="B317" s="1458">
        <v>17400</v>
      </c>
      <c r="C317" s="64">
        <f t="shared" si="7"/>
        <v>-5.7306747089849834E-3</v>
      </c>
    </row>
    <row r="318" spans="1:3" ht="15.75" thickBot="1">
      <c r="A318" s="1328">
        <v>41220</v>
      </c>
      <c r="B318" s="1457">
        <v>17005</v>
      </c>
      <c r="C318" s="64">
        <f t="shared" si="7"/>
        <v>-2.2962787761324547E-2</v>
      </c>
    </row>
    <row r="319" spans="1:3" ht="15.75" thickBot="1">
      <c r="A319" s="1326">
        <v>41221</v>
      </c>
      <c r="B319" s="1458">
        <v>17556</v>
      </c>
      <c r="C319" s="64">
        <f t="shared" si="7"/>
        <v>3.1888353366828812E-2</v>
      </c>
    </row>
    <row r="320" spans="1:3" ht="15.75" thickBot="1">
      <c r="A320" s="1328">
        <v>41222</v>
      </c>
      <c r="B320" s="1457">
        <v>17310</v>
      </c>
      <c r="C320" s="64">
        <f t="shared" si="7"/>
        <v>-1.4111402637869684E-2</v>
      </c>
    </row>
    <row r="321" spans="1:3" ht="15.75" thickBot="1">
      <c r="A321" s="1326">
        <v>41226</v>
      </c>
      <c r="B321" s="1458">
        <v>17450</v>
      </c>
      <c r="C321" s="64">
        <f t="shared" si="7"/>
        <v>8.0552794603183635E-3</v>
      </c>
    </row>
    <row r="322" spans="1:3" ht="15.75" thickBot="1">
      <c r="A322" s="1328">
        <v>41227</v>
      </c>
      <c r="B322" s="1457">
        <v>17300</v>
      </c>
      <c r="C322" s="64">
        <f t="shared" si="7"/>
        <v>-8.6331471447028893E-3</v>
      </c>
    </row>
    <row r="323" spans="1:3" ht="15.75" thickBot="1">
      <c r="A323" s="1326">
        <v>41228</v>
      </c>
      <c r="B323" s="1458">
        <v>17440</v>
      </c>
      <c r="C323" s="64">
        <f t="shared" si="7"/>
        <v>8.0599169771002482E-3</v>
      </c>
    </row>
    <row r="324" spans="1:3" ht="15.75" thickBot="1">
      <c r="A324" s="1328">
        <v>41229</v>
      </c>
      <c r="B324" s="1457">
        <v>17457</v>
      </c>
      <c r="C324" s="64">
        <f t="shared" ref="C324:C387" si="8">+LN(B324/B323)</f>
        <v>9.7429586180902109E-4</v>
      </c>
    </row>
    <row r="325" spans="1:3" ht="15.75" thickBot="1">
      <c r="A325" s="1326">
        <v>41232</v>
      </c>
      <c r="B325" s="1458">
        <v>17457</v>
      </c>
      <c r="C325" s="64">
        <f t="shared" si="8"/>
        <v>0</v>
      </c>
    </row>
    <row r="326" spans="1:3" ht="15.75" thickBot="1">
      <c r="A326" s="1328">
        <v>41233</v>
      </c>
      <c r="B326" s="1457">
        <v>17600</v>
      </c>
      <c r="C326" s="64">
        <f t="shared" si="8"/>
        <v>8.1581877014634627E-3</v>
      </c>
    </row>
    <row r="327" spans="1:3" ht="15.75" thickBot="1">
      <c r="A327" s="1326">
        <v>41234</v>
      </c>
      <c r="B327" s="1458">
        <v>17572</v>
      </c>
      <c r="C327" s="64">
        <f t="shared" si="8"/>
        <v>-1.5921759305729637E-3</v>
      </c>
    </row>
    <row r="328" spans="1:3" ht="15.75" thickBot="1">
      <c r="A328" s="1328">
        <v>41235</v>
      </c>
      <c r="B328" s="1457">
        <v>17484</v>
      </c>
      <c r="C328" s="64">
        <f t="shared" si="8"/>
        <v>-5.0205491124650156E-3</v>
      </c>
    </row>
    <row r="329" spans="1:3" ht="15.75" thickBot="1">
      <c r="A329" s="1326">
        <v>41236</v>
      </c>
      <c r="B329" s="1458">
        <v>17500</v>
      </c>
      <c r="C329" s="64">
        <f t="shared" si="8"/>
        <v>9.1470392840030217E-4</v>
      </c>
    </row>
    <row r="330" spans="1:3" ht="15.75" thickBot="1">
      <c r="A330" s="1328">
        <v>41239</v>
      </c>
      <c r="B330" s="1457">
        <v>17437</v>
      </c>
      <c r="C330" s="64">
        <f t="shared" si="8"/>
        <v>-3.6064955941117441E-3</v>
      </c>
    </row>
    <row r="331" spans="1:3" ht="15.75" thickBot="1">
      <c r="A331" s="1326">
        <v>41240</v>
      </c>
      <c r="B331" s="1458">
        <v>17438</v>
      </c>
      <c r="C331" s="64">
        <f t="shared" si="8"/>
        <v>5.7347670266526531E-5</v>
      </c>
    </row>
    <row r="332" spans="1:3" ht="15.75" thickBot="1">
      <c r="A332" s="1328">
        <v>41241</v>
      </c>
      <c r="B332" s="1457">
        <v>17379</v>
      </c>
      <c r="C332" s="64">
        <f t="shared" si="8"/>
        <v>-3.3891522230264631E-3</v>
      </c>
    </row>
    <row r="333" spans="1:3" ht="15.75" thickBot="1">
      <c r="A333" s="1326">
        <v>41242</v>
      </c>
      <c r="B333" s="1458">
        <v>17379</v>
      </c>
      <c r="C333" s="64">
        <f t="shared" si="8"/>
        <v>0</v>
      </c>
    </row>
    <row r="334" spans="1:3" ht="15.75" thickBot="1">
      <c r="A334" s="1328">
        <v>41243</v>
      </c>
      <c r="B334" s="1457">
        <v>17575</v>
      </c>
      <c r="C334" s="64">
        <f t="shared" si="8"/>
        <v>1.1214856914131722E-2</v>
      </c>
    </row>
    <row r="335" spans="1:3" ht="15.75" thickBot="1">
      <c r="A335" s="1326">
        <v>41246</v>
      </c>
      <c r="B335" s="1458">
        <v>17660</v>
      </c>
      <c r="C335" s="64">
        <f t="shared" si="8"/>
        <v>4.8247574790853624E-3</v>
      </c>
    </row>
    <row r="336" spans="1:3" ht="15.75" thickBot="1">
      <c r="A336" s="1328">
        <v>41247</v>
      </c>
      <c r="B336" s="1457">
        <v>17800</v>
      </c>
      <c r="C336" s="64">
        <f t="shared" si="8"/>
        <v>7.8962621222255398E-3</v>
      </c>
    </row>
    <row r="337" spans="1:3" ht="15.75" thickBot="1">
      <c r="A337" s="1326">
        <v>41248</v>
      </c>
      <c r="B337" s="1458">
        <v>18025</v>
      </c>
      <c r="C337" s="64">
        <f t="shared" si="8"/>
        <v>1.2561225872973258E-2</v>
      </c>
    </row>
    <row r="338" spans="1:3" ht="15.75" thickBot="1">
      <c r="A338" s="1328">
        <v>41249</v>
      </c>
      <c r="B338" s="1457">
        <v>18055</v>
      </c>
      <c r="C338" s="64">
        <f t="shared" si="8"/>
        <v>1.6629715584083413E-3</v>
      </c>
    </row>
    <row r="339" spans="1:3" ht="15.75" thickBot="1">
      <c r="A339" s="1326">
        <v>41250</v>
      </c>
      <c r="B339" s="1458">
        <v>18028.5</v>
      </c>
      <c r="C339" s="64">
        <f t="shared" si="8"/>
        <v>-1.4688156506049187E-3</v>
      </c>
    </row>
    <row r="340" spans="1:3" ht="15.75" thickBot="1">
      <c r="A340" s="1328">
        <v>41253</v>
      </c>
      <c r="B340" s="1457">
        <v>18097.5</v>
      </c>
      <c r="C340" s="64">
        <f t="shared" si="8"/>
        <v>3.8199681063432471E-3</v>
      </c>
    </row>
    <row r="341" spans="1:3" ht="15.75" thickBot="1">
      <c r="A341" s="1326">
        <v>41254</v>
      </c>
      <c r="B341" s="1458">
        <v>18190</v>
      </c>
      <c r="C341" s="64">
        <f t="shared" si="8"/>
        <v>5.0981853448714776E-3</v>
      </c>
    </row>
    <row r="342" spans="1:3" ht="15.75" thickBot="1">
      <c r="A342" s="1328">
        <v>41255</v>
      </c>
      <c r="B342" s="1457">
        <v>18220</v>
      </c>
      <c r="C342" s="64">
        <f t="shared" si="8"/>
        <v>1.6478993017812922E-3</v>
      </c>
    </row>
    <row r="343" spans="1:3" ht="15.75" thickBot="1">
      <c r="A343" s="1326">
        <v>41256</v>
      </c>
      <c r="B343" s="1458">
        <v>18180</v>
      </c>
      <c r="C343" s="64">
        <f t="shared" si="8"/>
        <v>-2.1978030824795383E-3</v>
      </c>
    </row>
    <row r="344" spans="1:3" ht="15.75" thickBot="1">
      <c r="A344" s="1328">
        <v>41257</v>
      </c>
      <c r="B344" s="1457">
        <v>18109</v>
      </c>
      <c r="C344" s="64">
        <f t="shared" si="8"/>
        <v>-3.9130364901274065E-3</v>
      </c>
    </row>
    <row r="345" spans="1:3" ht="15.75" thickBot="1">
      <c r="A345" s="1326">
        <v>41260</v>
      </c>
      <c r="B345" s="1458">
        <v>18122</v>
      </c>
      <c r="C345" s="64">
        <f t="shared" si="8"/>
        <v>7.1761754066341685E-4</v>
      </c>
    </row>
    <row r="346" spans="1:3" ht="15.75" thickBot="1">
      <c r="A346" s="1328">
        <v>41261</v>
      </c>
      <c r="B346" s="1457">
        <v>18190</v>
      </c>
      <c r="C346" s="64">
        <f t="shared" si="8"/>
        <v>3.7453227301621132E-3</v>
      </c>
    </row>
    <row r="347" spans="1:3" ht="15.75" thickBot="1">
      <c r="A347" s="1326">
        <v>41262</v>
      </c>
      <c r="B347" s="1458">
        <v>18170</v>
      </c>
      <c r="C347" s="64">
        <f t="shared" si="8"/>
        <v>-1.1001101219510491E-3</v>
      </c>
    </row>
    <row r="348" spans="1:3" ht="15.75" thickBot="1">
      <c r="A348" s="1328">
        <v>41263</v>
      </c>
      <c r="B348" s="1457">
        <v>18150</v>
      </c>
      <c r="C348" s="64">
        <f t="shared" si="8"/>
        <v>-1.1013216972200512E-3</v>
      </c>
    </row>
    <row r="349" spans="1:3" ht="15.75" thickBot="1">
      <c r="A349" s="1326">
        <v>41264</v>
      </c>
      <c r="B349" s="1458">
        <v>18138</v>
      </c>
      <c r="C349" s="64">
        <f t="shared" si="8"/>
        <v>-6.6137568548380943E-4</v>
      </c>
    </row>
    <row r="350" spans="1:3" ht="15.75" thickBot="1">
      <c r="A350" s="1328">
        <v>41269</v>
      </c>
      <c r="B350" s="1457">
        <v>18300</v>
      </c>
      <c r="C350" s="64">
        <f t="shared" si="8"/>
        <v>8.8918748219992769E-3</v>
      </c>
    </row>
    <row r="351" spans="1:3" ht="15.75" thickBot="1">
      <c r="A351" s="1326">
        <v>41270</v>
      </c>
      <c r="B351" s="1458">
        <v>18210</v>
      </c>
      <c r="C351" s="64">
        <f t="shared" si="8"/>
        <v>-4.9301661078587208E-3</v>
      </c>
    </row>
    <row r="352" spans="1:3" ht="15.75" thickBot="1">
      <c r="A352" s="1328">
        <v>41271</v>
      </c>
      <c r="B352" s="1457">
        <v>18325</v>
      </c>
      <c r="C352" s="64">
        <f t="shared" si="8"/>
        <v>6.2953540331986803E-3</v>
      </c>
    </row>
    <row r="353" spans="1:3" ht="15.75" thickBot="1">
      <c r="A353" s="1326">
        <v>41276</v>
      </c>
      <c r="B353" s="1458">
        <v>18303</v>
      </c>
      <c r="C353" s="64">
        <f t="shared" si="8"/>
        <v>-1.2012669348901112E-3</v>
      </c>
    </row>
    <row r="354" spans="1:3" ht="15.75" thickBot="1">
      <c r="A354" s="1328">
        <v>41277</v>
      </c>
      <c r="B354" s="1457">
        <v>18390</v>
      </c>
      <c r="C354" s="64">
        <f t="shared" si="8"/>
        <v>4.7420577784046394E-3</v>
      </c>
    </row>
    <row r="355" spans="1:3" ht="15.75" thickBot="1">
      <c r="A355" s="1326">
        <v>41278</v>
      </c>
      <c r="B355" s="1458">
        <v>18415</v>
      </c>
      <c r="C355" s="64">
        <f t="shared" si="8"/>
        <v>1.3585112807989327E-3</v>
      </c>
    </row>
    <row r="356" spans="1:3" ht="15.75" thickBot="1">
      <c r="A356" s="1328">
        <v>41282</v>
      </c>
      <c r="B356" s="1457">
        <v>18480</v>
      </c>
      <c r="C356" s="64">
        <f t="shared" si="8"/>
        <v>3.523516316509464E-3</v>
      </c>
    </row>
    <row r="357" spans="1:3" ht="15.75" thickBot="1">
      <c r="A357" s="1326">
        <v>41283</v>
      </c>
      <c r="B357" s="1458">
        <v>18360</v>
      </c>
      <c r="C357" s="64">
        <f t="shared" si="8"/>
        <v>-6.5146810211936419E-3</v>
      </c>
    </row>
    <row r="358" spans="1:3" ht="15.75" thickBot="1">
      <c r="A358" s="1328">
        <v>41284</v>
      </c>
      <c r="B358" s="1457">
        <v>18455</v>
      </c>
      <c r="C358" s="64">
        <f t="shared" si="8"/>
        <v>5.1609512896175439E-3</v>
      </c>
    </row>
    <row r="359" spans="1:3" ht="15.75" thickBot="1">
      <c r="A359" s="1326">
        <v>41285</v>
      </c>
      <c r="B359" s="1458">
        <v>18388</v>
      </c>
      <c r="C359" s="64">
        <f t="shared" si="8"/>
        <v>-3.6370585379803541E-3</v>
      </c>
    </row>
    <row r="360" spans="1:3" ht="15.75" thickBot="1">
      <c r="A360" s="1328">
        <v>41288</v>
      </c>
      <c r="B360" s="1457">
        <v>18408</v>
      </c>
      <c r="C360" s="64">
        <f t="shared" si="8"/>
        <v>1.0870747890832392E-3</v>
      </c>
    </row>
    <row r="361" spans="1:3" ht="15.75" thickBot="1">
      <c r="A361" s="1326">
        <v>41289</v>
      </c>
      <c r="B361" s="1458">
        <v>18410</v>
      </c>
      <c r="C361" s="64">
        <f t="shared" si="8"/>
        <v>1.0864251192172222E-4</v>
      </c>
    </row>
    <row r="362" spans="1:3" ht="15.75" thickBot="1">
      <c r="A362" s="1328">
        <v>41290</v>
      </c>
      <c r="B362" s="1457">
        <v>18430</v>
      </c>
      <c r="C362" s="64">
        <f t="shared" si="8"/>
        <v>1.0857764367454036E-3</v>
      </c>
    </row>
    <row r="363" spans="1:3" ht="15.75" thickBot="1">
      <c r="A363" s="1326">
        <v>41291</v>
      </c>
      <c r="B363" s="1458">
        <v>18456</v>
      </c>
      <c r="C363" s="64">
        <f t="shared" si="8"/>
        <v>1.4097491897206347E-3</v>
      </c>
    </row>
    <row r="364" spans="1:3" ht="15.75" thickBot="1">
      <c r="A364" s="1328">
        <v>41292</v>
      </c>
      <c r="B364" s="1457">
        <v>18495</v>
      </c>
      <c r="C364" s="64">
        <f t="shared" si="8"/>
        <v>2.1109044129648032E-3</v>
      </c>
    </row>
    <row r="365" spans="1:3" ht="15.75" thickBot="1">
      <c r="A365" s="1326">
        <v>41295</v>
      </c>
      <c r="B365" s="1458">
        <v>18471</v>
      </c>
      <c r="C365" s="64">
        <f t="shared" si="8"/>
        <v>-1.2984906872345549E-3</v>
      </c>
    </row>
    <row r="366" spans="1:3" ht="15.75" thickBot="1">
      <c r="A366" s="1328">
        <v>41296</v>
      </c>
      <c r="B366" s="1457">
        <v>18575</v>
      </c>
      <c r="C366" s="64">
        <f t="shared" si="8"/>
        <v>5.6146560066400288E-3</v>
      </c>
    </row>
    <row r="367" spans="1:3" ht="15.75" thickBot="1">
      <c r="A367" s="1326">
        <v>41297</v>
      </c>
      <c r="B367" s="1458">
        <v>18625</v>
      </c>
      <c r="C367" s="64">
        <f t="shared" si="8"/>
        <v>2.6881736618003956E-3</v>
      </c>
    </row>
    <row r="368" spans="1:3" ht="15.75" thickBot="1">
      <c r="A368" s="1328">
        <v>41298</v>
      </c>
      <c r="B368" s="1457">
        <v>18690</v>
      </c>
      <c r="C368" s="64">
        <f t="shared" si="8"/>
        <v>3.4838572018481471E-3</v>
      </c>
    </row>
    <row r="369" spans="1:3" ht="15.75" thickBot="1">
      <c r="A369" s="1326">
        <v>41299</v>
      </c>
      <c r="B369" s="1458">
        <v>18705</v>
      </c>
      <c r="C369" s="64">
        <f t="shared" si="8"/>
        <v>8.0224633263804726E-4</v>
      </c>
    </row>
    <row r="370" spans="1:3" ht="15.75" thickBot="1">
      <c r="A370" s="1328">
        <v>41302</v>
      </c>
      <c r="B370" s="1457">
        <v>18620</v>
      </c>
      <c r="C370" s="64">
        <f t="shared" si="8"/>
        <v>-4.5545959511884108E-3</v>
      </c>
    </row>
    <row r="371" spans="1:3" ht="15.75" thickBot="1">
      <c r="A371" s="1326">
        <v>41303</v>
      </c>
      <c r="B371" s="1458">
        <v>18700</v>
      </c>
      <c r="C371" s="64">
        <f t="shared" si="8"/>
        <v>4.2872520116199915E-3</v>
      </c>
    </row>
    <row r="372" spans="1:3" ht="15.75" thickBot="1">
      <c r="A372" s="1328">
        <v>41304</v>
      </c>
      <c r="B372" s="1457">
        <v>18763</v>
      </c>
      <c r="C372" s="64">
        <f t="shared" si="8"/>
        <v>3.363321644696644E-3</v>
      </c>
    </row>
    <row r="373" spans="1:3" ht="15.75" thickBot="1">
      <c r="A373" s="1326">
        <v>41305</v>
      </c>
      <c r="B373" s="1458">
        <v>18763</v>
      </c>
      <c r="C373" s="64">
        <f t="shared" si="8"/>
        <v>0</v>
      </c>
    </row>
    <row r="374" spans="1:3" ht="15.75" thickBot="1">
      <c r="A374" s="1328">
        <v>41306</v>
      </c>
      <c r="B374" s="1457">
        <v>18732.5</v>
      </c>
      <c r="C374" s="64">
        <f t="shared" si="8"/>
        <v>-1.626862248908828E-3</v>
      </c>
    </row>
    <row r="375" spans="1:3" ht="15.75" thickBot="1">
      <c r="A375" s="1326">
        <v>41309</v>
      </c>
      <c r="B375" s="1458">
        <v>18831</v>
      </c>
      <c r="C375" s="64">
        <f t="shared" si="8"/>
        <v>5.2444647471756494E-3</v>
      </c>
    </row>
    <row r="376" spans="1:3" ht="15.75" thickBot="1">
      <c r="A376" s="1328">
        <v>41310</v>
      </c>
      <c r="B376" s="1457">
        <v>18935</v>
      </c>
      <c r="C376" s="64">
        <f t="shared" si="8"/>
        <v>5.5076133502537624E-3</v>
      </c>
    </row>
    <row r="377" spans="1:3" ht="15.75" thickBot="1">
      <c r="A377" s="1326">
        <v>41311</v>
      </c>
      <c r="B377" s="1458">
        <v>18710.5</v>
      </c>
      <c r="C377" s="64">
        <f t="shared" si="8"/>
        <v>-1.1927197747653022E-2</v>
      </c>
    </row>
    <row r="378" spans="1:3" ht="15.75" thickBot="1">
      <c r="A378" s="1328">
        <v>41312</v>
      </c>
      <c r="B378" s="1457">
        <v>18765</v>
      </c>
      <c r="C378" s="64">
        <f t="shared" si="8"/>
        <v>2.9085689808790002E-3</v>
      </c>
    </row>
    <row r="379" spans="1:3" ht="15.75" thickBot="1">
      <c r="A379" s="1326">
        <v>41313</v>
      </c>
      <c r="B379" s="1458">
        <v>18760.5</v>
      </c>
      <c r="C379" s="64">
        <f t="shared" si="8"/>
        <v>-2.3983691205026143E-4</v>
      </c>
    </row>
    <row r="380" spans="1:3" ht="15.75" thickBot="1">
      <c r="A380" s="1328">
        <v>41316</v>
      </c>
      <c r="B380" s="1457">
        <v>18605</v>
      </c>
      <c r="C380" s="64">
        <f t="shared" si="8"/>
        <v>-8.3232338763480455E-3</v>
      </c>
    </row>
    <row r="381" spans="1:3" ht="15.75" thickBot="1">
      <c r="A381" s="1326">
        <v>41317</v>
      </c>
      <c r="B381" s="1458">
        <v>18697.5</v>
      </c>
      <c r="C381" s="64">
        <f t="shared" si="8"/>
        <v>4.959463285099869E-3</v>
      </c>
    </row>
    <row r="382" spans="1:3" ht="15.75" thickBot="1">
      <c r="A382" s="1328">
        <v>41318</v>
      </c>
      <c r="B382" s="1457">
        <v>18725</v>
      </c>
      <c r="C382" s="64">
        <f t="shared" si="8"/>
        <v>1.469704319597675E-3</v>
      </c>
    </row>
    <row r="383" spans="1:3" ht="15.75" thickBot="1">
      <c r="A383" s="1326">
        <v>41319</v>
      </c>
      <c r="B383" s="1458">
        <v>18737</v>
      </c>
      <c r="C383" s="64">
        <f t="shared" si="8"/>
        <v>6.4064921309228316E-4</v>
      </c>
    </row>
    <row r="384" spans="1:3" ht="15.75" thickBot="1">
      <c r="A384" s="1328">
        <v>41320</v>
      </c>
      <c r="B384" s="1457">
        <v>18615</v>
      </c>
      <c r="C384" s="64">
        <f t="shared" si="8"/>
        <v>-6.5324712916951747E-3</v>
      </c>
    </row>
    <row r="385" spans="1:3" ht="15.75" thickBot="1">
      <c r="A385" s="1326">
        <v>41323</v>
      </c>
      <c r="B385" s="1458">
        <v>18565</v>
      </c>
      <c r="C385" s="64">
        <f t="shared" si="8"/>
        <v>-2.6896196956367933E-3</v>
      </c>
    </row>
    <row r="386" spans="1:3" ht="15.75" thickBot="1">
      <c r="A386" s="1328">
        <v>41324</v>
      </c>
      <c r="B386" s="1457">
        <v>18480.5</v>
      </c>
      <c r="C386" s="64">
        <f t="shared" si="8"/>
        <v>-4.5619655044634982E-3</v>
      </c>
    </row>
    <row r="387" spans="1:3" ht="15.75" thickBot="1">
      <c r="A387" s="1326">
        <v>41325</v>
      </c>
      <c r="B387" s="1458">
        <v>18400</v>
      </c>
      <c r="C387" s="64">
        <f t="shared" si="8"/>
        <v>-4.3654575096399627E-3</v>
      </c>
    </row>
    <row r="388" spans="1:3" ht="15.75" thickBot="1">
      <c r="A388" s="1328">
        <v>41326</v>
      </c>
      <c r="B388" s="1457">
        <v>18370</v>
      </c>
      <c r="C388" s="64">
        <f t="shared" ref="C388:C451" si="9">+LN(B388/B387)</f>
        <v>-1.6317653879056701E-3</v>
      </c>
    </row>
    <row r="389" spans="1:3" ht="15.75" thickBot="1">
      <c r="A389" s="1326">
        <v>41327</v>
      </c>
      <c r="B389" s="1458">
        <v>18600</v>
      </c>
      <c r="C389" s="64">
        <f t="shared" si="9"/>
        <v>1.2442681492121367E-2</v>
      </c>
    </row>
    <row r="390" spans="1:3" ht="15.75" thickBot="1">
      <c r="A390" s="1328">
        <v>41330</v>
      </c>
      <c r="B390" s="1457">
        <v>18619</v>
      </c>
      <c r="C390" s="64">
        <f t="shared" si="9"/>
        <v>1.0209839947596146E-3</v>
      </c>
    </row>
    <row r="391" spans="1:3" ht="15.75" thickBot="1">
      <c r="A391" s="1326">
        <v>41331</v>
      </c>
      <c r="B391" s="1458">
        <v>18492</v>
      </c>
      <c r="C391" s="64">
        <f t="shared" si="9"/>
        <v>-6.8443585879362371E-3</v>
      </c>
    </row>
    <row r="392" spans="1:3" ht="15.75" thickBot="1">
      <c r="A392" s="1328">
        <v>41332</v>
      </c>
      <c r="B392" s="1457">
        <v>18517</v>
      </c>
      <c r="C392" s="64">
        <f t="shared" si="9"/>
        <v>1.3510229296999313E-3</v>
      </c>
    </row>
    <row r="393" spans="1:3" ht="15.75" thickBot="1">
      <c r="A393" s="1326">
        <v>41333</v>
      </c>
      <c r="B393" s="1458">
        <v>18400</v>
      </c>
      <c r="C393" s="64">
        <f t="shared" si="9"/>
        <v>-6.3385644407389337E-3</v>
      </c>
    </row>
    <row r="394" spans="1:3" ht="15.75" thickBot="1">
      <c r="A394" s="1328">
        <v>41334</v>
      </c>
      <c r="B394" s="1457">
        <v>18350</v>
      </c>
      <c r="C394" s="64">
        <f t="shared" si="9"/>
        <v>-2.7210901143606132E-3</v>
      </c>
    </row>
    <row r="395" spans="1:3" ht="15.75" thickBot="1">
      <c r="A395" s="1326">
        <v>41337</v>
      </c>
      <c r="B395" s="1458">
        <v>18368</v>
      </c>
      <c r="C395" s="64">
        <f t="shared" si="9"/>
        <v>9.8044563657653881E-4</v>
      </c>
    </row>
    <row r="396" spans="1:3" ht="15.75" thickBot="1">
      <c r="A396" s="1328">
        <v>41338</v>
      </c>
      <c r="B396" s="1457">
        <v>18309.5</v>
      </c>
      <c r="C396" s="64">
        <f t="shared" si="9"/>
        <v>-3.1899693058427461E-3</v>
      </c>
    </row>
    <row r="397" spans="1:3" ht="15.75" thickBot="1">
      <c r="A397" s="1326">
        <v>41339</v>
      </c>
      <c r="B397" s="1458">
        <v>18111</v>
      </c>
      <c r="C397" s="64">
        <f t="shared" si="9"/>
        <v>-1.0900562348914334E-2</v>
      </c>
    </row>
    <row r="398" spans="1:3" ht="15.75" thickBot="1">
      <c r="A398" s="1328">
        <v>41340</v>
      </c>
      <c r="B398" s="1457">
        <v>17882</v>
      </c>
      <c r="C398" s="64">
        <f t="shared" si="9"/>
        <v>-1.2724868169272451E-2</v>
      </c>
    </row>
    <row r="399" spans="1:3" ht="15.75" thickBot="1">
      <c r="A399" s="1326">
        <v>41341</v>
      </c>
      <c r="B399" s="1458">
        <v>17870</v>
      </c>
      <c r="C399" s="64">
        <f t="shared" si="9"/>
        <v>-6.7129114178963024E-4</v>
      </c>
    </row>
    <row r="400" spans="1:3" ht="15.75" thickBot="1">
      <c r="A400" s="1328">
        <v>41344</v>
      </c>
      <c r="B400" s="1457">
        <v>18009</v>
      </c>
      <c r="C400" s="64">
        <f t="shared" si="9"/>
        <v>7.7483037664791404E-3</v>
      </c>
    </row>
    <row r="401" spans="1:3" ht="15.75" thickBot="1">
      <c r="A401" s="1326">
        <v>41345</v>
      </c>
      <c r="B401" s="1458">
        <v>18013</v>
      </c>
      <c r="C401" s="64">
        <f t="shared" si="9"/>
        <v>2.2208650360566599E-4</v>
      </c>
    </row>
    <row r="402" spans="1:3" ht="15.75" thickBot="1">
      <c r="A402" s="1328">
        <v>41346</v>
      </c>
      <c r="B402" s="1457">
        <v>17920</v>
      </c>
      <c r="C402" s="64">
        <f t="shared" si="9"/>
        <v>-5.1763118946369716E-3</v>
      </c>
    </row>
    <row r="403" spans="1:3" ht="15.75" thickBot="1">
      <c r="A403" s="1326">
        <v>41347</v>
      </c>
      <c r="B403" s="1458">
        <v>17934</v>
      </c>
      <c r="C403" s="64">
        <f t="shared" si="9"/>
        <v>7.8094498307135099E-4</v>
      </c>
    </row>
    <row r="404" spans="1:3" ht="15.75" thickBot="1">
      <c r="A404" s="1328">
        <v>41348</v>
      </c>
      <c r="B404" s="1457">
        <v>17840.5</v>
      </c>
      <c r="C404" s="64">
        <f t="shared" si="9"/>
        <v>-5.227198864909229E-3</v>
      </c>
    </row>
    <row r="405" spans="1:3" ht="15.75" thickBot="1">
      <c r="A405" s="1326">
        <v>41351</v>
      </c>
      <c r="B405" s="1458">
        <v>17875</v>
      </c>
      <c r="C405" s="64">
        <f t="shared" si="9"/>
        <v>1.9319349151249096E-3</v>
      </c>
    </row>
    <row r="406" spans="1:3" ht="15.75" thickBot="1">
      <c r="A406" s="1328">
        <v>41352</v>
      </c>
      <c r="B406" s="1457">
        <v>17726</v>
      </c>
      <c r="C406" s="64">
        <f t="shared" si="9"/>
        <v>-8.3706002638651508E-3</v>
      </c>
    </row>
    <row r="407" spans="1:3" ht="15.75" thickBot="1">
      <c r="A407" s="1326">
        <v>41353</v>
      </c>
      <c r="B407" s="1458">
        <v>17662</v>
      </c>
      <c r="C407" s="64">
        <f t="shared" si="9"/>
        <v>-3.6170492695957483E-3</v>
      </c>
    </row>
    <row r="408" spans="1:3" ht="15.75" thickBot="1">
      <c r="A408" s="1328">
        <v>41354</v>
      </c>
      <c r="B408" s="1457">
        <v>17700</v>
      </c>
      <c r="C408" s="64">
        <f t="shared" si="9"/>
        <v>2.1492005331729732E-3</v>
      </c>
    </row>
    <row r="409" spans="1:3" ht="15.75" thickBot="1">
      <c r="A409" s="1326">
        <v>41355</v>
      </c>
      <c r="B409" s="1458">
        <v>17760</v>
      </c>
      <c r="C409" s="64">
        <f t="shared" si="9"/>
        <v>3.3840979842404942E-3</v>
      </c>
    </row>
    <row r="410" spans="1:3" ht="15.75" thickBot="1">
      <c r="A410" s="1328">
        <v>41359</v>
      </c>
      <c r="B410" s="1457">
        <v>17798.5</v>
      </c>
      <c r="C410" s="64">
        <f t="shared" si="9"/>
        <v>2.1654465202065611E-3</v>
      </c>
    </row>
    <row r="411" spans="1:3" ht="15.75" thickBot="1">
      <c r="A411" s="1326">
        <v>41365</v>
      </c>
      <c r="B411" s="1458">
        <v>17790</v>
      </c>
      <c r="C411" s="64">
        <f t="shared" si="9"/>
        <v>-4.7768240648675246E-4</v>
      </c>
    </row>
    <row r="412" spans="1:3" ht="15.75" thickBot="1">
      <c r="A412" s="1328">
        <v>41366</v>
      </c>
      <c r="B412" s="1457">
        <v>17680</v>
      </c>
      <c r="C412" s="64">
        <f t="shared" si="9"/>
        <v>-6.2024444682464023E-3</v>
      </c>
    </row>
    <row r="413" spans="1:3" ht="15.75" thickBot="1">
      <c r="A413" s="1326">
        <v>41367</v>
      </c>
      <c r="B413" s="1458">
        <v>17480</v>
      </c>
      <c r="C413" s="64">
        <f t="shared" si="9"/>
        <v>-1.1376686982107934E-2</v>
      </c>
    </row>
    <row r="414" spans="1:3" ht="15.75" thickBot="1">
      <c r="A414" s="1328">
        <v>41368</v>
      </c>
      <c r="B414" s="1457">
        <v>17615</v>
      </c>
      <c r="C414" s="64">
        <f t="shared" si="9"/>
        <v>7.6934415658115735E-3</v>
      </c>
    </row>
    <row r="415" spans="1:3" ht="15.75" thickBot="1">
      <c r="A415" s="1326">
        <v>41369</v>
      </c>
      <c r="B415" s="1458">
        <v>17539</v>
      </c>
      <c r="C415" s="64">
        <f t="shared" si="9"/>
        <v>-4.3238390172001592E-3</v>
      </c>
    </row>
    <row r="416" spans="1:3" ht="15.75" thickBot="1">
      <c r="A416" s="1328">
        <v>41372</v>
      </c>
      <c r="B416" s="1457">
        <v>17545</v>
      </c>
      <c r="C416" s="64">
        <f t="shared" si="9"/>
        <v>3.4203625917766613E-4</v>
      </c>
    </row>
    <row r="417" spans="1:3" ht="15.75" thickBot="1">
      <c r="A417" s="1326">
        <v>41373</v>
      </c>
      <c r="B417" s="1458">
        <v>17640</v>
      </c>
      <c r="C417" s="64">
        <f t="shared" si="9"/>
        <v>5.4000415434668639E-3</v>
      </c>
    </row>
    <row r="418" spans="1:3" ht="15.75" thickBot="1">
      <c r="A418" s="1328">
        <v>41374</v>
      </c>
      <c r="B418" s="1457">
        <v>17655</v>
      </c>
      <c r="C418" s="64">
        <f t="shared" si="9"/>
        <v>8.4997880170451618E-4</v>
      </c>
    </row>
    <row r="419" spans="1:3" ht="15.75" thickBot="1">
      <c r="A419" s="1326">
        <v>41375</v>
      </c>
      <c r="B419" s="1458">
        <v>17705</v>
      </c>
      <c r="C419" s="64">
        <f t="shared" si="9"/>
        <v>2.8280561835174254E-3</v>
      </c>
    </row>
    <row r="420" spans="1:3" ht="15.75" thickBot="1">
      <c r="A420" s="1328">
        <v>41376</v>
      </c>
      <c r="B420" s="1457">
        <v>17610</v>
      </c>
      <c r="C420" s="64">
        <f t="shared" si="9"/>
        <v>-5.3801630557522972E-3</v>
      </c>
    </row>
    <row r="421" spans="1:3" ht="15.75" thickBot="1">
      <c r="A421" s="1326">
        <v>41379</v>
      </c>
      <c r="B421" s="1458">
        <v>17290</v>
      </c>
      <c r="C421" s="64">
        <f t="shared" si="9"/>
        <v>-1.8338622812915654E-2</v>
      </c>
    </row>
    <row r="422" spans="1:3" ht="15.75" thickBot="1">
      <c r="A422" s="1328">
        <v>41380</v>
      </c>
      <c r="B422" s="1457">
        <v>17095</v>
      </c>
      <c r="C422" s="64">
        <f t="shared" si="9"/>
        <v>-1.1342276603934495E-2</v>
      </c>
    </row>
    <row r="423" spans="1:3" ht="15.75" thickBot="1">
      <c r="A423" s="1326">
        <v>41381</v>
      </c>
      <c r="B423" s="1458">
        <v>17060</v>
      </c>
      <c r="C423" s="64">
        <f t="shared" si="9"/>
        <v>-2.049481027731542E-3</v>
      </c>
    </row>
    <row r="424" spans="1:3" ht="15.75" thickBot="1">
      <c r="A424" s="1328">
        <v>41382</v>
      </c>
      <c r="B424" s="1457">
        <v>17065</v>
      </c>
      <c r="C424" s="64">
        <f t="shared" si="9"/>
        <v>2.930402951373075E-4</v>
      </c>
    </row>
    <row r="425" spans="1:3" ht="15.75" thickBot="1">
      <c r="A425" s="1326">
        <v>41383</v>
      </c>
      <c r="B425" s="1458">
        <v>17170</v>
      </c>
      <c r="C425" s="64">
        <f t="shared" si="9"/>
        <v>6.1340925507138789E-3</v>
      </c>
    </row>
    <row r="426" spans="1:3" ht="15.75" thickBot="1">
      <c r="A426" s="1328">
        <v>41386</v>
      </c>
      <c r="B426" s="1457">
        <v>17230</v>
      </c>
      <c r="C426" s="64">
        <f t="shared" si="9"/>
        <v>3.4883756304541066E-3</v>
      </c>
    </row>
    <row r="427" spans="1:3" ht="15.75" thickBot="1">
      <c r="A427" s="1326">
        <v>41387</v>
      </c>
      <c r="B427" s="1458">
        <v>17231</v>
      </c>
      <c r="C427" s="64">
        <f t="shared" si="9"/>
        <v>5.8036621124228241E-5</v>
      </c>
    </row>
    <row r="428" spans="1:3" ht="15.75" thickBot="1">
      <c r="A428" s="1328">
        <v>41388</v>
      </c>
      <c r="B428" s="1457">
        <v>17215</v>
      </c>
      <c r="C428" s="64">
        <f t="shared" si="9"/>
        <v>-9.2899037047542603E-4</v>
      </c>
    </row>
    <row r="429" spans="1:3" ht="15.75" thickBot="1">
      <c r="A429" s="1326">
        <v>41389</v>
      </c>
      <c r="B429" s="1458">
        <v>17190</v>
      </c>
      <c r="C429" s="64">
        <f t="shared" si="9"/>
        <v>-1.453277395729174E-3</v>
      </c>
    </row>
    <row r="430" spans="1:3" ht="15.75" thickBot="1">
      <c r="A430" s="1328">
        <v>41390</v>
      </c>
      <c r="B430" s="1457">
        <v>17200</v>
      </c>
      <c r="C430" s="64">
        <f t="shared" si="9"/>
        <v>5.8156442464946513E-4</v>
      </c>
    </row>
    <row r="431" spans="1:3" ht="15.75" thickBot="1">
      <c r="A431" s="1326">
        <v>41393</v>
      </c>
      <c r="B431" s="1458">
        <v>17010</v>
      </c>
      <c r="C431" s="64">
        <f t="shared" si="9"/>
        <v>-1.1107977411636917E-2</v>
      </c>
    </row>
    <row r="432" spans="1:3" ht="15.75" thickBot="1">
      <c r="A432" s="1328">
        <v>41394</v>
      </c>
      <c r="B432" s="1457">
        <v>17005</v>
      </c>
      <c r="C432" s="64">
        <f t="shared" si="9"/>
        <v>-2.9398794861160604E-4</v>
      </c>
    </row>
    <row r="433" spans="1:3" ht="15.75" thickBot="1">
      <c r="A433" s="1326">
        <v>41396</v>
      </c>
      <c r="B433" s="1458">
        <v>17040</v>
      </c>
      <c r="C433" s="64">
        <f t="shared" si="9"/>
        <v>2.0561029420109243E-3</v>
      </c>
    </row>
    <row r="434" spans="1:3" ht="15.75" thickBot="1">
      <c r="A434" s="1328">
        <v>41397</v>
      </c>
      <c r="B434" s="1457">
        <v>17045</v>
      </c>
      <c r="C434" s="64">
        <f t="shared" si="9"/>
        <v>2.9338418869679131E-4</v>
      </c>
    </row>
    <row r="435" spans="1:3" ht="15.75" thickBot="1">
      <c r="A435" s="1326">
        <v>41400</v>
      </c>
      <c r="B435" s="1458">
        <v>16910</v>
      </c>
      <c r="C435" s="64">
        <f t="shared" si="9"/>
        <v>-7.9517426793774704E-3</v>
      </c>
    </row>
    <row r="436" spans="1:3" ht="15.75" thickBot="1">
      <c r="A436" s="1328">
        <v>41401</v>
      </c>
      <c r="B436" s="1457">
        <v>16978</v>
      </c>
      <c r="C436" s="64">
        <f t="shared" si="9"/>
        <v>4.0132254052870952E-3</v>
      </c>
    </row>
    <row r="437" spans="1:3" ht="15.75" thickBot="1">
      <c r="A437" s="1326">
        <v>41402</v>
      </c>
      <c r="B437" s="1458">
        <v>16796</v>
      </c>
      <c r="C437" s="64">
        <f t="shared" si="9"/>
        <v>-1.0777625493829266E-2</v>
      </c>
    </row>
    <row r="438" spans="1:3" ht="15.75" thickBot="1">
      <c r="A438" s="1328">
        <v>41403</v>
      </c>
      <c r="B438" s="1457">
        <v>16780</v>
      </c>
      <c r="C438" s="64">
        <f t="shared" si="9"/>
        <v>-9.5306178288672696E-4</v>
      </c>
    </row>
    <row r="439" spans="1:3" ht="15.75" thickBot="1">
      <c r="A439" s="1326">
        <v>41404</v>
      </c>
      <c r="B439" s="1458">
        <v>16550</v>
      </c>
      <c r="C439" s="64">
        <f t="shared" si="9"/>
        <v>-1.3801599215988256E-2</v>
      </c>
    </row>
    <row r="440" spans="1:3" ht="15.75" thickBot="1">
      <c r="A440" s="1328">
        <v>41408</v>
      </c>
      <c r="B440" s="1457">
        <v>16749</v>
      </c>
      <c r="C440" s="64">
        <f t="shared" si="9"/>
        <v>1.1952453173261096E-2</v>
      </c>
    </row>
    <row r="441" spans="1:3" ht="15.75" thickBot="1">
      <c r="A441" s="1326">
        <v>41409</v>
      </c>
      <c r="B441" s="1458">
        <v>16830</v>
      </c>
      <c r="C441" s="64">
        <f t="shared" si="9"/>
        <v>4.8244532063816611E-3</v>
      </c>
    </row>
    <row r="442" spans="1:3" ht="15.75" thickBot="1">
      <c r="A442" s="1328">
        <v>41410</v>
      </c>
      <c r="B442" s="1457">
        <v>16951</v>
      </c>
      <c r="C442" s="64">
        <f t="shared" si="9"/>
        <v>7.1638209336345781E-3</v>
      </c>
    </row>
    <row r="443" spans="1:3" ht="15.75" thickBot="1">
      <c r="A443" s="1326">
        <v>41411</v>
      </c>
      <c r="B443" s="1458">
        <v>16940</v>
      </c>
      <c r="C443" s="64">
        <f t="shared" si="9"/>
        <v>-6.4913991244087597E-4</v>
      </c>
    </row>
    <row r="444" spans="1:3" ht="15.75" thickBot="1">
      <c r="A444" s="1328">
        <v>41414</v>
      </c>
      <c r="B444" s="1457">
        <v>16950</v>
      </c>
      <c r="C444" s="64">
        <f t="shared" si="9"/>
        <v>5.9014460255097756E-4</v>
      </c>
    </row>
    <row r="445" spans="1:3" ht="15.75" thickBot="1">
      <c r="A445" s="1326">
        <v>41415</v>
      </c>
      <c r="B445" s="1458">
        <v>16909.5</v>
      </c>
      <c r="C445" s="64">
        <f t="shared" si="9"/>
        <v>-2.392239655900671E-3</v>
      </c>
    </row>
    <row r="446" spans="1:3" ht="15.75" thickBot="1">
      <c r="A446" s="1328">
        <v>41416</v>
      </c>
      <c r="B446" s="1457">
        <v>17047</v>
      </c>
      <c r="C446" s="64">
        <f t="shared" si="9"/>
        <v>8.0986409982292604E-3</v>
      </c>
    </row>
    <row r="447" spans="1:3" ht="15.75" thickBot="1">
      <c r="A447" s="1326">
        <v>41417</v>
      </c>
      <c r="B447" s="1458">
        <v>17125</v>
      </c>
      <c r="C447" s="64">
        <f t="shared" si="9"/>
        <v>4.565148979501151E-3</v>
      </c>
    </row>
    <row r="448" spans="1:3" ht="15.75" thickBot="1">
      <c r="A448" s="1328">
        <v>41418</v>
      </c>
      <c r="B448" s="1457">
        <v>17126</v>
      </c>
      <c r="C448" s="64">
        <f t="shared" si="9"/>
        <v>5.839245571121544E-5</v>
      </c>
    </row>
    <row r="449" spans="1:3" ht="15.75" thickBot="1">
      <c r="A449" s="1326">
        <v>41421</v>
      </c>
      <c r="B449" s="1458">
        <v>17160</v>
      </c>
      <c r="C449" s="64">
        <f t="shared" si="9"/>
        <v>1.9833174558158127E-3</v>
      </c>
    </row>
    <row r="450" spans="1:3" ht="15.75" thickBot="1">
      <c r="A450" s="1328">
        <v>41422</v>
      </c>
      <c r="B450" s="1457">
        <v>17275</v>
      </c>
      <c r="C450" s="64">
        <f t="shared" si="9"/>
        <v>6.6792755939174076E-3</v>
      </c>
    </row>
    <row r="451" spans="1:3" ht="15.75" thickBot="1">
      <c r="A451" s="1326">
        <v>41423</v>
      </c>
      <c r="B451" s="1458">
        <v>17190</v>
      </c>
      <c r="C451" s="64">
        <f t="shared" si="9"/>
        <v>-4.9325502589757236E-3</v>
      </c>
    </row>
    <row r="452" spans="1:3" ht="15.75" thickBot="1">
      <c r="A452" s="1328">
        <v>41424</v>
      </c>
      <c r="B452" s="1457">
        <v>17110</v>
      </c>
      <c r="C452" s="64">
        <f t="shared" ref="C452:C515" si="10">+LN(B452/B451)</f>
        <v>-4.6647314906557331E-3</v>
      </c>
    </row>
    <row r="453" spans="1:3" ht="15.75" thickBot="1">
      <c r="A453" s="1326">
        <v>41425</v>
      </c>
      <c r="B453" s="1458">
        <v>16877</v>
      </c>
      <c r="C453" s="64">
        <f t="shared" si="10"/>
        <v>-1.3711339649754763E-2</v>
      </c>
    </row>
    <row r="454" spans="1:3" ht="15.75" thickBot="1">
      <c r="A454" s="1328">
        <v>41429</v>
      </c>
      <c r="B454" s="1457">
        <v>16828</v>
      </c>
      <c r="C454" s="64">
        <f t="shared" si="10"/>
        <v>-2.9075825260728556E-3</v>
      </c>
    </row>
    <row r="455" spans="1:3" ht="15.75" thickBot="1">
      <c r="A455" s="1326">
        <v>41430</v>
      </c>
      <c r="B455" s="1458">
        <v>16870</v>
      </c>
      <c r="C455" s="64">
        <f t="shared" si="10"/>
        <v>2.492730829602479E-3</v>
      </c>
    </row>
    <row r="456" spans="1:3" ht="15.75" thickBot="1">
      <c r="A456" s="1328">
        <v>41431</v>
      </c>
      <c r="B456" s="1457">
        <v>16768</v>
      </c>
      <c r="C456" s="64">
        <f t="shared" si="10"/>
        <v>-6.0645884192452532E-3</v>
      </c>
    </row>
    <row r="457" spans="1:3" ht="15.75" thickBot="1">
      <c r="A457" s="1326">
        <v>41432</v>
      </c>
      <c r="B457" s="1458">
        <v>16811</v>
      </c>
      <c r="C457" s="64">
        <f t="shared" si="10"/>
        <v>2.5611259122898748E-3</v>
      </c>
    </row>
    <row r="458" spans="1:3" ht="15.75" thickBot="1">
      <c r="A458" s="1328">
        <v>41437</v>
      </c>
      <c r="B458" s="1457">
        <v>16350</v>
      </c>
      <c r="C458" s="64">
        <f t="shared" si="10"/>
        <v>-2.7805536707659246E-2</v>
      </c>
    </row>
    <row r="459" spans="1:3" ht="15.75" thickBot="1">
      <c r="A459" s="1326">
        <v>41438</v>
      </c>
      <c r="B459" s="1458">
        <v>16380</v>
      </c>
      <c r="C459" s="64">
        <f t="shared" si="10"/>
        <v>1.8331810816609117E-3</v>
      </c>
    </row>
    <row r="460" spans="1:3" ht="15.75" thickBot="1">
      <c r="A460" s="1328">
        <v>41439</v>
      </c>
      <c r="B460" s="1457">
        <v>16356</v>
      </c>
      <c r="C460" s="64">
        <f t="shared" si="10"/>
        <v>-1.466275922527488E-3</v>
      </c>
    </row>
    <row r="461" spans="1:3" ht="15.75" thickBot="1">
      <c r="A461" s="1326">
        <v>41443</v>
      </c>
      <c r="B461" s="1458">
        <v>16538</v>
      </c>
      <c r="C461" s="64">
        <f t="shared" si="10"/>
        <v>1.106596079757898E-2</v>
      </c>
    </row>
    <row r="462" spans="1:3" ht="15.75" thickBot="1">
      <c r="A462" s="1328">
        <v>41444</v>
      </c>
      <c r="B462" s="1457">
        <v>16490</v>
      </c>
      <c r="C462" s="64">
        <f t="shared" si="10"/>
        <v>-2.9066267284674398E-3</v>
      </c>
    </row>
    <row r="463" spans="1:3" ht="15.75" thickBot="1">
      <c r="A463" s="1326">
        <v>41445</v>
      </c>
      <c r="B463" s="1458">
        <v>16330</v>
      </c>
      <c r="C463" s="64">
        <f t="shared" si="10"/>
        <v>-9.7502295891337548E-3</v>
      </c>
    </row>
    <row r="464" spans="1:3" ht="15.75" thickBot="1">
      <c r="A464" s="1328">
        <v>41446</v>
      </c>
      <c r="B464" s="1457">
        <v>16140</v>
      </c>
      <c r="C464" s="64">
        <f t="shared" si="10"/>
        <v>-1.1703244140571042E-2</v>
      </c>
    </row>
    <row r="465" spans="1:3" ht="15.75" thickBot="1">
      <c r="A465" s="1326">
        <v>41449</v>
      </c>
      <c r="B465" s="1458">
        <v>15571</v>
      </c>
      <c r="C465" s="64">
        <f t="shared" si="10"/>
        <v>-3.5890452982515107E-2</v>
      </c>
    </row>
    <row r="466" spans="1:3" ht="15.75" thickBot="1">
      <c r="A466" s="1328">
        <v>41450</v>
      </c>
      <c r="B466" s="1457">
        <v>15820</v>
      </c>
      <c r="C466" s="64">
        <f t="shared" si="10"/>
        <v>1.5864752480220221E-2</v>
      </c>
    </row>
    <row r="467" spans="1:3" ht="15.75" thickBot="1">
      <c r="A467" s="1326">
        <v>41451</v>
      </c>
      <c r="B467" s="1458">
        <v>15800</v>
      </c>
      <c r="C467" s="64">
        <f t="shared" si="10"/>
        <v>-1.2650223065867451E-3</v>
      </c>
    </row>
    <row r="468" spans="1:3" ht="15.75" thickBot="1">
      <c r="A468" s="1328">
        <v>41452</v>
      </c>
      <c r="B468" s="1457">
        <v>15861</v>
      </c>
      <c r="C468" s="64">
        <f t="shared" si="10"/>
        <v>3.8533258885016662E-3</v>
      </c>
    </row>
    <row r="469" spans="1:3" ht="15.75" thickBot="1">
      <c r="A469" s="1326">
        <v>41453</v>
      </c>
      <c r="B469" s="1458">
        <v>15861</v>
      </c>
      <c r="C469" s="64">
        <f t="shared" si="10"/>
        <v>0</v>
      </c>
    </row>
    <row r="470" spans="1:3" ht="15.75" thickBot="1">
      <c r="A470" s="1328">
        <v>41457</v>
      </c>
      <c r="B470" s="1457">
        <v>16146</v>
      </c>
      <c r="C470" s="64">
        <f t="shared" si="10"/>
        <v>1.7809075051400818E-2</v>
      </c>
    </row>
    <row r="471" spans="1:3" ht="15.75" thickBot="1">
      <c r="A471" s="1326">
        <v>41458</v>
      </c>
      <c r="B471" s="1458">
        <v>16140</v>
      </c>
      <c r="C471" s="64">
        <f t="shared" si="10"/>
        <v>-3.716781310209698E-4</v>
      </c>
    </row>
    <row r="472" spans="1:3" ht="15.75" thickBot="1">
      <c r="A472" s="1328">
        <v>41459</v>
      </c>
      <c r="B472" s="1457">
        <v>16156</v>
      </c>
      <c r="C472" s="64">
        <f t="shared" si="10"/>
        <v>9.9083485936372721E-4</v>
      </c>
    </row>
    <row r="473" spans="1:3" ht="15.75" thickBot="1">
      <c r="A473" s="1326">
        <v>41460</v>
      </c>
      <c r="B473" s="1458">
        <v>16060</v>
      </c>
      <c r="C473" s="64">
        <f t="shared" si="10"/>
        <v>-5.9597891825508001E-3</v>
      </c>
    </row>
    <row r="474" spans="1:3" ht="15.75" thickBot="1">
      <c r="A474" s="1328">
        <v>41463</v>
      </c>
      <c r="B474" s="1457">
        <v>16036</v>
      </c>
      <c r="C474" s="64">
        <f t="shared" si="10"/>
        <v>-1.4955137383550758E-3</v>
      </c>
    </row>
    <row r="475" spans="1:3" ht="15.75" thickBot="1">
      <c r="A475" s="1326">
        <v>41464</v>
      </c>
      <c r="B475" s="1458">
        <v>15812.5</v>
      </c>
      <c r="C475" s="64">
        <f t="shared" si="10"/>
        <v>-1.4035428292521487E-2</v>
      </c>
    </row>
    <row r="476" spans="1:3" ht="15.75" thickBot="1">
      <c r="A476" s="1328">
        <v>41465</v>
      </c>
      <c r="B476" s="1457">
        <v>15658</v>
      </c>
      <c r="C476" s="64">
        <f t="shared" si="10"/>
        <v>-9.8187980020165416E-3</v>
      </c>
    </row>
    <row r="477" spans="1:3" ht="15.75" thickBot="1">
      <c r="A477" s="1326">
        <v>41466</v>
      </c>
      <c r="B477" s="1458">
        <v>15950</v>
      </c>
      <c r="C477" s="64">
        <f t="shared" si="10"/>
        <v>1.8476860745131222E-2</v>
      </c>
    </row>
    <row r="478" spans="1:3" ht="15.75" thickBot="1">
      <c r="A478" s="1328">
        <v>41467</v>
      </c>
      <c r="B478" s="1457">
        <v>16000</v>
      </c>
      <c r="C478" s="64">
        <f t="shared" si="10"/>
        <v>3.1298930089275656E-3</v>
      </c>
    </row>
    <row r="479" spans="1:3" ht="15.75" thickBot="1">
      <c r="A479" s="1326">
        <v>41470</v>
      </c>
      <c r="B479" s="1458">
        <v>16400</v>
      </c>
      <c r="C479" s="64">
        <f t="shared" si="10"/>
        <v>2.4692612590371414E-2</v>
      </c>
    </row>
    <row r="480" spans="1:3" ht="15.75" thickBot="1">
      <c r="A480" s="1328">
        <v>41471</v>
      </c>
      <c r="B480" s="1457">
        <v>16630</v>
      </c>
      <c r="C480" s="64">
        <f t="shared" si="10"/>
        <v>1.3926958374683471E-2</v>
      </c>
    </row>
    <row r="481" spans="1:3" ht="15.75" thickBot="1">
      <c r="A481" s="1326">
        <v>41472</v>
      </c>
      <c r="B481" s="1458">
        <v>16689</v>
      </c>
      <c r="C481" s="64">
        <f t="shared" si="10"/>
        <v>3.5415265564296091E-3</v>
      </c>
    </row>
    <row r="482" spans="1:3" ht="15.75" thickBot="1">
      <c r="A482" s="1328">
        <v>41473</v>
      </c>
      <c r="B482" s="1457">
        <v>16810</v>
      </c>
      <c r="C482" s="64">
        <f t="shared" si="10"/>
        <v>7.2241276592584286E-3</v>
      </c>
    </row>
    <row r="483" spans="1:3" ht="15.75" thickBot="1">
      <c r="A483" s="1326">
        <v>41474</v>
      </c>
      <c r="B483" s="1458">
        <v>17000</v>
      </c>
      <c r="C483" s="64">
        <f t="shared" si="10"/>
        <v>1.1239396635691914E-2</v>
      </c>
    </row>
    <row r="484" spans="1:3" ht="15.75" thickBot="1">
      <c r="A484" s="1328">
        <v>41477</v>
      </c>
      <c r="B484" s="1457">
        <v>16758.5</v>
      </c>
      <c r="C484" s="64">
        <f t="shared" si="10"/>
        <v>-1.4307751814218856E-2</v>
      </c>
    </row>
    <row r="485" spans="1:3" ht="15.75" thickBot="1">
      <c r="A485" s="1326">
        <v>41478</v>
      </c>
      <c r="B485" s="1458">
        <v>16950</v>
      </c>
      <c r="C485" s="64">
        <f t="shared" si="10"/>
        <v>1.1362241584462024E-2</v>
      </c>
    </row>
    <row r="486" spans="1:3" ht="15.75" thickBot="1">
      <c r="A486" s="1328">
        <v>41479</v>
      </c>
      <c r="B486" s="1457">
        <v>17125</v>
      </c>
      <c r="C486" s="64">
        <f t="shared" si="10"/>
        <v>1.0271550321829699E-2</v>
      </c>
    </row>
    <row r="487" spans="1:3" ht="15.75" thickBot="1">
      <c r="A487" s="1326">
        <v>41480</v>
      </c>
      <c r="B487" s="1458">
        <v>17140</v>
      </c>
      <c r="C487" s="64">
        <f t="shared" si="10"/>
        <v>8.7552902134479149E-4</v>
      </c>
    </row>
    <row r="488" spans="1:3" ht="15.75" thickBot="1">
      <c r="A488" s="1328">
        <v>41481</v>
      </c>
      <c r="B488" s="1457">
        <v>17100</v>
      </c>
      <c r="C488" s="64">
        <f t="shared" si="10"/>
        <v>-2.3364496610195989E-3</v>
      </c>
    </row>
    <row r="489" spans="1:3" ht="15.75" thickBot="1">
      <c r="A489" s="1326">
        <v>41484</v>
      </c>
      <c r="B489" s="1458">
        <v>16990</v>
      </c>
      <c r="C489" s="64">
        <f t="shared" si="10"/>
        <v>-6.4535278247734862E-3</v>
      </c>
    </row>
    <row r="490" spans="1:3" ht="15.75" thickBot="1">
      <c r="A490" s="1328">
        <v>41485</v>
      </c>
      <c r="B490" s="1457">
        <v>17010</v>
      </c>
      <c r="C490" s="64">
        <f t="shared" si="10"/>
        <v>1.1764707239298113E-3</v>
      </c>
    </row>
    <row r="491" spans="1:3" ht="15.75" thickBot="1">
      <c r="A491" s="1326">
        <v>41486</v>
      </c>
      <c r="B491" s="1458">
        <v>16880</v>
      </c>
      <c r="C491" s="64">
        <f t="shared" si="10"/>
        <v>-7.6719172399593192E-3</v>
      </c>
    </row>
    <row r="492" spans="1:3" ht="15.75" thickBot="1">
      <c r="A492" s="1328">
        <v>41488</v>
      </c>
      <c r="B492" s="1457">
        <v>17264</v>
      </c>
      <c r="C492" s="64">
        <f t="shared" si="10"/>
        <v>2.2493919347967802E-2</v>
      </c>
    </row>
    <row r="493" spans="1:3" ht="15.75" thickBot="1">
      <c r="A493" s="1326">
        <v>41492</v>
      </c>
      <c r="B493" s="1458">
        <v>17300</v>
      </c>
      <c r="C493" s="64">
        <f t="shared" si="10"/>
        <v>2.083092987954512E-3</v>
      </c>
    </row>
    <row r="494" spans="1:3" ht="15.75" thickBot="1">
      <c r="A494" s="1328">
        <v>41494</v>
      </c>
      <c r="B494" s="1457">
        <v>17238</v>
      </c>
      <c r="C494" s="64">
        <f t="shared" si="10"/>
        <v>-3.5902522785257319E-3</v>
      </c>
    </row>
    <row r="495" spans="1:3" ht="15.75" thickBot="1">
      <c r="A495" s="1326">
        <v>41495</v>
      </c>
      <c r="B495" s="1458">
        <v>17290</v>
      </c>
      <c r="C495" s="64">
        <f t="shared" si="10"/>
        <v>3.0120504699916212E-3</v>
      </c>
    </row>
    <row r="496" spans="1:3" ht="15.75" thickBot="1">
      <c r="A496" s="1328">
        <v>41498</v>
      </c>
      <c r="B496" s="1457">
        <v>17275</v>
      </c>
      <c r="C496" s="64">
        <f t="shared" si="10"/>
        <v>-8.6793004146557137E-4</v>
      </c>
    </row>
    <row r="497" spans="1:3" ht="15.75" thickBot="1">
      <c r="A497" s="1326">
        <v>41499</v>
      </c>
      <c r="B497" s="1458">
        <v>17400</v>
      </c>
      <c r="C497" s="64">
        <f t="shared" si="10"/>
        <v>7.2098365667497503E-3</v>
      </c>
    </row>
    <row r="498" spans="1:3" ht="15.75" thickBot="1">
      <c r="A498" s="1328">
        <v>41500</v>
      </c>
      <c r="B498" s="1457">
        <v>17515</v>
      </c>
      <c r="C498" s="64">
        <f t="shared" si="10"/>
        <v>6.5874504289668151E-3</v>
      </c>
    </row>
    <row r="499" spans="1:3" ht="15.75" thickBot="1">
      <c r="A499" s="1326">
        <v>41501</v>
      </c>
      <c r="B499" s="1458">
        <v>17420</v>
      </c>
      <c r="C499" s="64">
        <f t="shared" si="10"/>
        <v>-5.4386852250934339E-3</v>
      </c>
    </row>
    <row r="500" spans="1:3" ht="15.75" thickBot="1">
      <c r="A500" s="1328">
        <v>41502</v>
      </c>
      <c r="B500" s="1457">
        <v>17306</v>
      </c>
      <c r="C500" s="64">
        <f t="shared" si="10"/>
        <v>-6.5657092398096516E-3</v>
      </c>
    </row>
    <row r="501" spans="1:3" ht="15.75" thickBot="1">
      <c r="A501" s="1326">
        <v>41506</v>
      </c>
      <c r="B501" s="1458">
        <v>17303</v>
      </c>
      <c r="C501" s="64">
        <f t="shared" si="10"/>
        <v>-1.7336531003577521E-4</v>
      </c>
    </row>
    <row r="502" spans="1:3" ht="15.75" thickBot="1">
      <c r="A502" s="1328">
        <v>41507</v>
      </c>
      <c r="B502" s="1457">
        <v>17297</v>
      </c>
      <c r="C502" s="64">
        <f t="shared" si="10"/>
        <v>-3.4682081272498715E-4</v>
      </c>
    </row>
    <row r="503" spans="1:3" ht="15.75" thickBot="1">
      <c r="A503" s="1326">
        <v>41508</v>
      </c>
      <c r="B503" s="1458">
        <v>17280</v>
      </c>
      <c r="C503" s="64">
        <f t="shared" si="10"/>
        <v>-9.833126858767281E-4</v>
      </c>
    </row>
    <row r="504" spans="1:3" ht="15.75" thickBot="1">
      <c r="A504" s="1328">
        <v>41509</v>
      </c>
      <c r="B504" s="1457">
        <v>17230</v>
      </c>
      <c r="C504" s="64">
        <f t="shared" si="10"/>
        <v>-2.8977128360712801E-3</v>
      </c>
    </row>
    <row r="505" spans="1:3" ht="15.75" thickBot="1">
      <c r="A505" s="1326">
        <v>41512</v>
      </c>
      <c r="B505" s="1458">
        <v>17235</v>
      </c>
      <c r="C505" s="64">
        <f t="shared" si="10"/>
        <v>2.9014942899053674E-4</v>
      </c>
    </row>
    <row r="506" spans="1:3" ht="15.75" thickBot="1">
      <c r="A506" s="1328">
        <v>41513</v>
      </c>
      <c r="B506" s="1457">
        <v>17160</v>
      </c>
      <c r="C506" s="64">
        <f t="shared" si="10"/>
        <v>-4.3611059090124206E-3</v>
      </c>
    </row>
    <row r="507" spans="1:3" ht="15.75" thickBot="1">
      <c r="A507" s="1326">
        <v>41514</v>
      </c>
      <c r="B507" s="1458">
        <v>17370</v>
      </c>
      <c r="C507" s="64">
        <f t="shared" si="10"/>
        <v>1.2163486193197402E-2</v>
      </c>
    </row>
    <row r="508" spans="1:3" ht="15.75" thickBot="1">
      <c r="A508" s="1328">
        <v>41515</v>
      </c>
      <c r="B508" s="1457">
        <v>17320</v>
      </c>
      <c r="C508" s="64">
        <f t="shared" si="10"/>
        <v>-2.8826771187244918E-3</v>
      </c>
    </row>
    <row r="509" spans="1:3" ht="15.75" thickBot="1">
      <c r="A509" s="1326">
        <v>41516</v>
      </c>
      <c r="B509" s="1458">
        <v>17265</v>
      </c>
      <c r="C509" s="64">
        <f t="shared" si="10"/>
        <v>-3.1805722923334643E-3</v>
      </c>
    </row>
    <row r="510" spans="1:3" ht="15.75" thickBot="1">
      <c r="A510" s="1328">
        <v>41519</v>
      </c>
      <c r="B510" s="1457">
        <v>17358</v>
      </c>
      <c r="C510" s="64">
        <f t="shared" si="10"/>
        <v>5.3721643800974947E-3</v>
      </c>
    </row>
    <row r="511" spans="1:3" ht="15.75" thickBot="1">
      <c r="A511" s="1326">
        <v>41520</v>
      </c>
      <c r="B511" s="1458">
        <v>17431</v>
      </c>
      <c r="C511" s="64">
        <f t="shared" si="10"/>
        <v>4.1967350106753912E-3</v>
      </c>
    </row>
    <row r="512" spans="1:3" ht="15.75" thickBot="1">
      <c r="A512" s="1328">
        <v>41521</v>
      </c>
      <c r="B512" s="1457">
        <v>17507</v>
      </c>
      <c r="C512" s="64">
        <f t="shared" si="10"/>
        <v>4.350570718066946E-3</v>
      </c>
    </row>
    <row r="513" spans="1:3" ht="15.75" thickBot="1">
      <c r="A513" s="1326">
        <v>41522</v>
      </c>
      <c r="B513" s="1458">
        <v>17566</v>
      </c>
      <c r="C513" s="64">
        <f t="shared" si="10"/>
        <v>3.3644145441304118E-3</v>
      </c>
    </row>
    <row r="514" spans="1:3" ht="15.75" thickBot="1">
      <c r="A514" s="1328">
        <v>41526</v>
      </c>
      <c r="B514" s="1457">
        <v>17580</v>
      </c>
      <c r="C514" s="64">
        <f t="shared" si="10"/>
        <v>7.9667676210539102E-4</v>
      </c>
    </row>
    <row r="515" spans="1:3" ht="15.75" thickBot="1">
      <c r="A515" s="1326">
        <v>41527</v>
      </c>
      <c r="B515" s="1458">
        <v>17626</v>
      </c>
      <c r="C515" s="64">
        <f t="shared" si="10"/>
        <v>2.6131924204378805E-3</v>
      </c>
    </row>
    <row r="516" spans="1:3" ht="15.75" thickBot="1">
      <c r="A516" s="1328">
        <v>41528</v>
      </c>
      <c r="B516" s="1457">
        <v>17725</v>
      </c>
      <c r="C516" s="64">
        <f t="shared" ref="C516:C579" si="11">+LN(B516/B515)</f>
        <v>5.6009877407225007E-3</v>
      </c>
    </row>
    <row r="517" spans="1:3" ht="15.75" thickBot="1">
      <c r="A517" s="1326">
        <v>41529</v>
      </c>
      <c r="B517" s="1458">
        <v>17700</v>
      </c>
      <c r="C517" s="64">
        <f t="shared" si="11"/>
        <v>-1.411432838407736E-3</v>
      </c>
    </row>
    <row r="518" spans="1:3" ht="15.75" thickBot="1">
      <c r="A518" s="1328">
        <v>41530</v>
      </c>
      <c r="B518" s="1457">
        <v>17550</v>
      </c>
      <c r="C518" s="64">
        <f t="shared" si="11"/>
        <v>-8.5106896679086191E-3</v>
      </c>
    </row>
    <row r="519" spans="1:3" ht="15.75" thickBot="1">
      <c r="A519" s="1326">
        <v>41533</v>
      </c>
      <c r="B519" s="1458">
        <v>17699.5</v>
      </c>
      <c r="C519" s="64">
        <f t="shared" si="11"/>
        <v>8.4824406813392289E-3</v>
      </c>
    </row>
    <row r="520" spans="1:3" ht="15.75" thickBot="1">
      <c r="A520" s="1328">
        <v>41534</v>
      </c>
      <c r="B520" s="1457">
        <v>17590</v>
      </c>
      <c r="C520" s="64">
        <f t="shared" si="11"/>
        <v>-6.2058318437472225E-3</v>
      </c>
    </row>
    <row r="521" spans="1:3" ht="15.75" thickBot="1">
      <c r="A521" s="1326">
        <v>41535</v>
      </c>
      <c r="B521" s="1458">
        <v>17720</v>
      </c>
      <c r="C521" s="64">
        <f t="shared" si="11"/>
        <v>7.3633864274680163E-3</v>
      </c>
    </row>
    <row r="522" spans="1:3" ht="15.75" thickBot="1">
      <c r="A522" s="1328">
        <v>41536</v>
      </c>
      <c r="B522" s="1457">
        <v>17725</v>
      </c>
      <c r="C522" s="64">
        <f t="shared" si="11"/>
        <v>2.8212724125633096E-4</v>
      </c>
    </row>
    <row r="523" spans="1:3" ht="15.75" thickBot="1">
      <c r="A523" s="1326">
        <v>41537</v>
      </c>
      <c r="B523" s="1458">
        <v>17720</v>
      </c>
      <c r="C523" s="64">
        <f t="shared" si="11"/>
        <v>-2.8212724125626254E-4</v>
      </c>
    </row>
    <row r="524" spans="1:3" ht="15.75" thickBot="1">
      <c r="A524" s="1328">
        <v>41540</v>
      </c>
      <c r="B524" s="1457">
        <v>17730</v>
      </c>
      <c r="C524" s="64">
        <f t="shared" si="11"/>
        <v>5.6417490918167978E-4</v>
      </c>
    </row>
    <row r="525" spans="1:3" ht="15.75" thickBot="1">
      <c r="A525" s="1326">
        <v>41541</v>
      </c>
      <c r="B525" s="1458">
        <v>17770</v>
      </c>
      <c r="C525" s="64">
        <f t="shared" si="11"/>
        <v>2.2535220804434748E-3</v>
      </c>
    </row>
    <row r="526" spans="1:3" ht="15.75" thickBot="1">
      <c r="A526" s="1328">
        <v>41542</v>
      </c>
      <c r="B526" s="1457">
        <v>17814</v>
      </c>
      <c r="C526" s="64">
        <f t="shared" si="11"/>
        <v>2.4730228431178608E-3</v>
      </c>
    </row>
    <row r="527" spans="1:3" ht="15.75" thickBot="1">
      <c r="A527" s="1326">
        <v>41543</v>
      </c>
      <c r="B527" s="1458">
        <v>17794.5</v>
      </c>
      <c r="C527" s="64">
        <f t="shared" si="11"/>
        <v>-1.0952442225471645E-3</v>
      </c>
    </row>
    <row r="528" spans="1:3" ht="15.75" thickBot="1">
      <c r="A528" s="1328">
        <v>41544</v>
      </c>
      <c r="B528" s="1457">
        <v>17770</v>
      </c>
      <c r="C528" s="64">
        <f t="shared" si="11"/>
        <v>-1.377778620570606E-3</v>
      </c>
    </row>
    <row r="529" spans="1:3" ht="15.75" thickBot="1">
      <c r="A529" s="1326">
        <v>41547</v>
      </c>
      <c r="B529" s="1458">
        <v>17680</v>
      </c>
      <c r="C529" s="64">
        <f t="shared" si="11"/>
        <v>-5.0775849570625798E-3</v>
      </c>
    </row>
    <row r="530" spans="1:3" ht="15.75" thickBot="1">
      <c r="A530" s="1328">
        <v>41548</v>
      </c>
      <c r="B530" s="1457">
        <v>17670</v>
      </c>
      <c r="C530" s="64">
        <f t="shared" si="11"/>
        <v>-5.6577087789234524E-4</v>
      </c>
    </row>
    <row r="531" spans="1:3" ht="15.75" thickBot="1">
      <c r="A531" s="1326">
        <v>41549</v>
      </c>
      <c r="B531" s="1458">
        <v>17604</v>
      </c>
      <c r="C531" s="64">
        <f t="shared" si="11"/>
        <v>-3.7421373827600229E-3</v>
      </c>
    </row>
    <row r="532" spans="1:3" ht="15.75" thickBot="1">
      <c r="A532" s="1328">
        <v>41550</v>
      </c>
      <c r="B532" s="1457">
        <v>17590</v>
      </c>
      <c r="C532" s="64">
        <f t="shared" si="11"/>
        <v>-7.9559019937816067E-4</v>
      </c>
    </row>
    <row r="533" spans="1:3" ht="15.75" thickBot="1">
      <c r="A533" s="1326">
        <v>41551</v>
      </c>
      <c r="B533" s="1458">
        <v>17500.5</v>
      </c>
      <c r="C533" s="64">
        <f t="shared" si="11"/>
        <v>-5.101106799582502E-3</v>
      </c>
    </row>
    <row r="534" spans="1:3" ht="15.75" thickBot="1">
      <c r="A534" s="1328">
        <v>41554</v>
      </c>
      <c r="B534" s="1457">
        <v>17579</v>
      </c>
      <c r="C534" s="64">
        <f t="shared" si="11"/>
        <v>4.4755558678695774E-3</v>
      </c>
    </row>
    <row r="535" spans="1:3" ht="15.75" thickBot="1">
      <c r="A535" s="1326">
        <v>41555</v>
      </c>
      <c r="B535" s="1458">
        <v>17580</v>
      </c>
      <c r="C535" s="64">
        <f t="shared" si="11"/>
        <v>5.6884439277028719E-5</v>
      </c>
    </row>
    <row r="536" spans="1:3" ht="15.75" thickBot="1">
      <c r="A536" s="1328">
        <v>41556</v>
      </c>
      <c r="B536" s="1457">
        <v>17586.5</v>
      </c>
      <c r="C536" s="64">
        <f t="shared" si="11"/>
        <v>3.6967000264573671E-4</v>
      </c>
    </row>
    <row r="537" spans="1:3" ht="15.75" thickBot="1">
      <c r="A537" s="1326">
        <v>41557</v>
      </c>
      <c r="B537" s="1458">
        <v>17609.5</v>
      </c>
      <c r="C537" s="64">
        <f t="shared" si="11"/>
        <v>1.3069668868041615E-3</v>
      </c>
    </row>
    <row r="538" spans="1:3" ht="15.75" thickBot="1">
      <c r="A538" s="1328">
        <v>41562</v>
      </c>
      <c r="B538" s="1457">
        <v>17718</v>
      </c>
      <c r="C538" s="64">
        <f t="shared" si="11"/>
        <v>6.1425428433597379E-3</v>
      </c>
    </row>
    <row r="539" spans="1:3" ht="15.75" thickBot="1">
      <c r="A539" s="1326">
        <v>41563</v>
      </c>
      <c r="B539" s="1458">
        <v>17800</v>
      </c>
      <c r="C539" s="64">
        <f t="shared" si="11"/>
        <v>4.6173853081987971E-3</v>
      </c>
    </row>
    <row r="540" spans="1:3" ht="15.75" thickBot="1">
      <c r="A540" s="1328">
        <v>41564</v>
      </c>
      <c r="B540" s="1457">
        <v>17790</v>
      </c>
      <c r="C540" s="64">
        <f t="shared" si="11"/>
        <v>-5.6195562029565582E-4</v>
      </c>
    </row>
    <row r="541" spans="1:3" ht="15.75" thickBot="1">
      <c r="A541" s="1326">
        <v>41565</v>
      </c>
      <c r="B541" s="1458">
        <v>17815</v>
      </c>
      <c r="C541" s="64">
        <f t="shared" si="11"/>
        <v>1.4042973800556808E-3</v>
      </c>
    </row>
    <row r="542" spans="1:3" ht="15.75" thickBot="1">
      <c r="A542" s="1328">
        <v>41568</v>
      </c>
      <c r="B542" s="1457">
        <v>17865</v>
      </c>
      <c r="C542" s="64">
        <f t="shared" si="11"/>
        <v>2.8026924175737454E-3</v>
      </c>
    </row>
    <row r="543" spans="1:3" ht="15.75" thickBot="1">
      <c r="A543" s="1326">
        <v>41569</v>
      </c>
      <c r="B543" s="1458">
        <v>17835</v>
      </c>
      <c r="C543" s="64">
        <f t="shared" si="11"/>
        <v>-1.6806726645182889E-3</v>
      </c>
    </row>
    <row r="544" spans="1:3" ht="15.75" thickBot="1">
      <c r="A544" s="1328">
        <v>41570</v>
      </c>
      <c r="B544" s="1457">
        <v>17754</v>
      </c>
      <c r="C544" s="64">
        <f t="shared" si="11"/>
        <v>-4.5519761647272112E-3</v>
      </c>
    </row>
    <row r="545" spans="1:3" ht="15.75" thickBot="1">
      <c r="A545" s="1326">
        <v>41571</v>
      </c>
      <c r="B545" s="1458">
        <v>17780.5</v>
      </c>
      <c r="C545" s="64">
        <f t="shared" si="11"/>
        <v>1.491508529043852E-3</v>
      </c>
    </row>
    <row r="546" spans="1:3" ht="15.75" thickBot="1">
      <c r="A546" s="1328">
        <v>41572</v>
      </c>
      <c r="B546" s="1457">
        <v>17839.5</v>
      </c>
      <c r="C546" s="64">
        <f t="shared" si="11"/>
        <v>3.3127486781012608E-3</v>
      </c>
    </row>
    <row r="547" spans="1:3" ht="15.75" thickBot="1">
      <c r="A547" s="1326">
        <v>41575</v>
      </c>
      <c r="B547" s="1458">
        <v>17785</v>
      </c>
      <c r="C547" s="64">
        <f t="shared" si="11"/>
        <v>-3.0596944528541148E-3</v>
      </c>
    </row>
    <row r="548" spans="1:3" ht="15.75" thickBot="1">
      <c r="A548" s="1328">
        <v>41576</v>
      </c>
      <c r="B548" s="1457">
        <v>17775</v>
      </c>
      <c r="C548" s="64">
        <f t="shared" si="11"/>
        <v>-5.6242971111398674E-4</v>
      </c>
    </row>
    <row r="549" spans="1:3" ht="15.75" thickBot="1">
      <c r="A549" s="1326">
        <v>41577</v>
      </c>
      <c r="B549" s="1458">
        <v>17713</v>
      </c>
      <c r="C549" s="64">
        <f t="shared" si="11"/>
        <v>-3.4941424188448091E-3</v>
      </c>
    </row>
    <row r="550" spans="1:3" ht="15.75" thickBot="1">
      <c r="A550" s="1328">
        <v>41578</v>
      </c>
      <c r="B550" s="1457">
        <v>17516</v>
      </c>
      <c r="C550" s="64">
        <f t="shared" si="11"/>
        <v>-1.1184084331307863E-2</v>
      </c>
    </row>
    <row r="551" spans="1:3" ht="15.75" thickBot="1">
      <c r="A551" s="1326">
        <v>41579</v>
      </c>
      <c r="B551" s="1458">
        <v>17560</v>
      </c>
      <c r="C551" s="64">
        <f t="shared" si="11"/>
        <v>2.5088392678185687E-3</v>
      </c>
    </row>
    <row r="552" spans="1:3" ht="15.75" thickBot="1">
      <c r="A552" s="1328">
        <v>41583</v>
      </c>
      <c r="B552" s="1457">
        <v>17469</v>
      </c>
      <c r="C552" s="64">
        <f t="shared" si="11"/>
        <v>-5.1957066838780449E-3</v>
      </c>
    </row>
    <row r="553" spans="1:3" ht="15.75" thickBot="1">
      <c r="A553" s="1326">
        <v>41584</v>
      </c>
      <c r="B553" s="1458">
        <v>17320</v>
      </c>
      <c r="C553" s="64">
        <f t="shared" si="11"/>
        <v>-8.5659783888034444E-3</v>
      </c>
    </row>
    <row r="554" spans="1:3" ht="15.75" thickBot="1">
      <c r="A554" s="1328">
        <v>41585</v>
      </c>
      <c r="B554" s="1457">
        <v>17350</v>
      </c>
      <c r="C554" s="64">
        <f t="shared" si="11"/>
        <v>1.730603258578994E-3</v>
      </c>
    </row>
    <row r="555" spans="1:3" ht="15.75" thickBot="1">
      <c r="A555" s="1326">
        <v>41586</v>
      </c>
      <c r="B555" s="1458">
        <v>16900</v>
      </c>
      <c r="C555" s="64">
        <f t="shared" si="11"/>
        <v>-2.6278884463840423E-2</v>
      </c>
    </row>
    <row r="556" spans="1:3" ht="15.75" thickBot="1">
      <c r="A556" s="1328">
        <v>41590</v>
      </c>
      <c r="B556" s="1457">
        <v>16480</v>
      </c>
      <c r="C556" s="64">
        <f t="shared" si="11"/>
        <v>-2.5166097447702117E-2</v>
      </c>
    </row>
    <row r="557" spans="1:3" ht="15.75" thickBot="1">
      <c r="A557" s="1326">
        <v>41591</v>
      </c>
      <c r="B557" s="1458">
        <v>16600</v>
      </c>
      <c r="C557" s="64">
        <f t="shared" si="11"/>
        <v>7.2551708811720156E-3</v>
      </c>
    </row>
    <row r="558" spans="1:3" ht="15.75" thickBot="1">
      <c r="A558" s="1328">
        <v>41592</v>
      </c>
      <c r="B558" s="1457">
        <v>16760</v>
      </c>
      <c r="C558" s="64">
        <f t="shared" si="11"/>
        <v>9.5923996914395078E-3</v>
      </c>
    </row>
    <row r="559" spans="1:3" ht="15.75" thickBot="1">
      <c r="A559" s="1326">
        <v>41593</v>
      </c>
      <c r="B559" s="1458">
        <v>16785</v>
      </c>
      <c r="C559" s="64">
        <f t="shared" si="11"/>
        <v>1.4905353780613373E-3</v>
      </c>
    </row>
    <row r="560" spans="1:3" ht="15.75" thickBot="1">
      <c r="A560" s="1328">
        <v>41596</v>
      </c>
      <c r="B560" s="1457">
        <v>16780</v>
      </c>
      <c r="C560" s="64">
        <f t="shared" si="11"/>
        <v>-2.9792939293817766E-4</v>
      </c>
    </row>
    <row r="561" spans="1:3" ht="15.75" thickBot="1">
      <c r="A561" s="1326">
        <v>41597</v>
      </c>
      <c r="B561" s="1458">
        <v>16700</v>
      </c>
      <c r="C561" s="64">
        <f t="shared" si="11"/>
        <v>-4.7789816163506917E-3</v>
      </c>
    </row>
    <row r="562" spans="1:3" ht="15.75" thickBot="1">
      <c r="A562" s="1328">
        <v>41598</v>
      </c>
      <c r="B562" s="1457">
        <v>16681</v>
      </c>
      <c r="C562" s="64">
        <f t="shared" si="11"/>
        <v>-1.1383722507910664E-3</v>
      </c>
    </row>
    <row r="563" spans="1:3" ht="15.75" thickBot="1">
      <c r="A563" s="1326">
        <v>41599</v>
      </c>
      <c r="B563" s="1458">
        <v>16720</v>
      </c>
      <c r="C563" s="64">
        <f t="shared" si="11"/>
        <v>2.3352604846371178E-3</v>
      </c>
    </row>
    <row r="564" spans="1:3" ht="15.75" thickBot="1">
      <c r="A564" s="1328">
        <v>41600</v>
      </c>
      <c r="B564" s="1457">
        <v>16651</v>
      </c>
      <c r="C564" s="64">
        <f t="shared" si="11"/>
        <v>-4.1353329735759154E-3</v>
      </c>
    </row>
    <row r="565" spans="1:3" ht="15.75" thickBot="1">
      <c r="A565" s="1326">
        <v>41603</v>
      </c>
      <c r="B565" s="1458">
        <v>16560</v>
      </c>
      <c r="C565" s="64">
        <f t="shared" si="11"/>
        <v>-5.4801257258660311E-3</v>
      </c>
    </row>
    <row r="566" spans="1:3" ht="15.75" thickBot="1">
      <c r="A566" s="1328">
        <v>41604</v>
      </c>
      <c r="B566" s="1457">
        <v>16260.5</v>
      </c>
      <c r="C566" s="64">
        <f t="shared" si="11"/>
        <v>-1.8251295002727048E-2</v>
      </c>
    </row>
    <row r="567" spans="1:3" ht="15.75" thickBot="1">
      <c r="A567" s="1326">
        <v>41605</v>
      </c>
      <c r="B567" s="1458">
        <v>16263</v>
      </c>
      <c r="C567" s="64">
        <f t="shared" si="11"/>
        <v>1.5373499192419533E-4</v>
      </c>
    </row>
    <row r="568" spans="1:3" ht="15.75" thickBot="1">
      <c r="A568" s="1328">
        <v>41607</v>
      </c>
      <c r="B568" s="1457">
        <v>16340</v>
      </c>
      <c r="C568" s="64">
        <f t="shared" si="11"/>
        <v>4.7235004855460507E-3</v>
      </c>
    </row>
    <row r="569" spans="1:3" ht="15.75" thickBot="1">
      <c r="A569" s="1326">
        <v>41610</v>
      </c>
      <c r="B569" s="1458">
        <v>16260</v>
      </c>
      <c r="C569" s="64">
        <f t="shared" si="11"/>
        <v>-4.9079853121923121E-3</v>
      </c>
    </row>
    <row r="570" spans="1:3" ht="15.75" thickBot="1">
      <c r="A570" s="1328">
        <v>41611</v>
      </c>
      <c r="B570" s="1457">
        <v>16200</v>
      </c>
      <c r="C570" s="64">
        <f t="shared" si="11"/>
        <v>-3.6968618813260916E-3</v>
      </c>
    </row>
    <row r="571" spans="1:3" ht="15.75" thickBot="1">
      <c r="A571" s="1326">
        <v>41612</v>
      </c>
      <c r="B571" s="1458">
        <v>16000</v>
      </c>
      <c r="C571" s="64">
        <f t="shared" si="11"/>
        <v>-1.2422519998557209E-2</v>
      </c>
    </row>
    <row r="572" spans="1:3" ht="15.75" thickBot="1">
      <c r="A572" s="1328">
        <v>41613</v>
      </c>
      <c r="B572" s="1457">
        <v>16150</v>
      </c>
      <c r="C572" s="64">
        <f t="shared" si="11"/>
        <v>9.3313274288842219E-3</v>
      </c>
    </row>
    <row r="573" spans="1:3" ht="15.75" thickBot="1">
      <c r="A573" s="1326">
        <v>41614</v>
      </c>
      <c r="B573" s="1458">
        <v>16101</v>
      </c>
      <c r="C573" s="64">
        <f t="shared" si="11"/>
        <v>-3.0386678058640956E-3</v>
      </c>
    </row>
    <row r="574" spans="1:3" ht="15.75" thickBot="1">
      <c r="A574" s="1328">
        <v>41617</v>
      </c>
      <c r="B574" s="1457">
        <v>16200</v>
      </c>
      <c r="C574" s="64">
        <f t="shared" si="11"/>
        <v>6.1298603755370095E-3</v>
      </c>
    </row>
    <row r="575" spans="1:3" ht="15.75" thickBot="1">
      <c r="A575" s="1326">
        <v>41618</v>
      </c>
      <c r="B575" s="1458">
        <v>16200</v>
      </c>
      <c r="C575" s="64">
        <f t="shared" si="11"/>
        <v>0</v>
      </c>
    </row>
    <row r="576" spans="1:3" ht="15.75" thickBot="1">
      <c r="A576" s="1328">
        <v>41619</v>
      </c>
      <c r="B576" s="1457">
        <v>16340</v>
      </c>
      <c r="C576" s="64">
        <f t="shared" si="11"/>
        <v>8.6048471935184275E-3</v>
      </c>
    </row>
    <row r="577" spans="1:3" ht="15.75" thickBot="1">
      <c r="A577" s="1326">
        <v>41620</v>
      </c>
      <c r="B577" s="1458">
        <v>16551</v>
      </c>
      <c r="C577" s="64">
        <f t="shared" si="11"/>
        <v>1.2830433526546604E-2</v>
      </c>
    </row>
    <row r="578" spans="1:3" ht="15.75" thickBot="1">
      <c r="A578" s="1328">
        <v>41621</v>
      </c>
      <c r="B578" s="1457">
        <v>16500</v>
      </c>
      <c r="C578" s="64">
        <f t="shared" si="11"/>
        <v>-3.0861420518685403E-3</v>
      </c>
    </row>
    <row r="579" spans="1:3" ht="15.75" thickBot="1">
      <c r="A579" s="1326">
        <v>41624</v>
      </c>
      <c r="B579" s="1458">
        <v>16330</v>
      </c>
      <c r="C579" s="64">
        <f t="shared" si="11"/>
        <v>-1.0356473924161136E-2</v>
      </c>
    </row>
    <row r="580" spans="1:3" ht="15.75" thickBot="1">
      <c r="A580" s="1328">
        <v>41625</v>
      </c>
      <c r="B580" s="1457">
        <v>16143</v>
      </c>
      <c r="C580" s="64">
        <f t="shared" ref="C580:C643" si="12">+LN(B580/B579)</f>
        <v>-1.1517387806981414E-2</v>
      </c>
    </row>
    <row r="581" spans="1:3" ht="15.75" thickBot="1">
      <c r="A581" s="1326">
        <v>41626</v>
      </c>
      <c r="B581" s="1458">
        <v>16088</v>
      </c>
      <c r="C581" s="64">
        <f t="shared" si="12"/>
        <v>-3.4128667050414103E-3</v>
      </c>
    </row>
    <row r="582" spans="1:3" ht="15.75" thickBot="1">
      <c r="A582" s="1328">
        <v>41627</v>
      </c>
      <c r="B582" s="1457">
        <v>16100</v>
      </c>
      <c r="C582" s="64">
        <f t="shared" si="12"/>
        <v>7.4561952006647241E-4</v>
      </c>
    </row>
    <row r="583" spans="1:3" ht="15.75" thickBot="1">
      <c r="A583" s="1326">
        <v>41628</v>
      </c>
      <c r="B583" s="1458">
        <v>16280.5</v>
      </c>
      <c r="C583" s="64">
        <f t="shared" si="12"/>
        <v>1.1148800643069359E-2</v>
      </c>
    </row>
    <row r="584" spans="1:3" ht="15.75" thickBot="1">
      <c r="A584" s="1328">
        <v>41631</v>
      </c>
      <c r="B584" s="1457">
        <v>16002.5</v>
      </c>
      <c r="C584" s="64">
        <f t="shared" si="12"/>
        <v>-1.7223112599465271E-2</v>
      </c>
    </row>
    <row r="585" spans="1:3" ht="15.75" thickBot="1">
      <c r="A585" s="1326">
        <v>41634</v>
      </c>
      <c r="B585" s="1458">
        <v>16100</v>
      </c>
      <c r="C585" s="64">
        <f t="shared" si="12"/>
        <v>6.0743119563959388E-3</v>
      </c>
    </row>
    <row r="586" spans="1:3" ht="15.75" thickBot="1">
      <c r="A586" s="1328">
        <v>41646</v>
      </c>
      <c r="B586" s="1457">
        <v>16000</v>
      </c>
      <c r="C586" s="64">
        <f t="shared" si="12"/>
        <v>-6.2305497506360864E-3</v>
      </c>
    </row>
    <row r="587" spans="1:3" ht="15.75" thickBot="1">
      <c r="A587" s="1326">
        <v>41647</v>
      </c>
      <c r="B587" s="1458">
        <v>16000</v>
      </c>
      <c r="C587" s="64">
        <f t="shared" si="12"/>
        <v>0</v>
      </c>
    </row>
    <row r="588" spans="1:3" ht="15.75" thickBot="1">
      <c r="A588" s="1328">
        <v>41648</v>
      </c>
      <c r="B588" s="1457">
        <v>15643</v>
      </c>
      <c r="C588" s="64">
        <f t="shared" si="12"/>
        <v>-2.256518966014796E-2</v>
      </c>
    </row>
    <row r="589" spans="1:3" ht="15.75" thickBot="1">
      <c r="A589" s="1326">
        <v>41649</v>
      </c>
      <c r="B589" s="1458">
        <v>15600</v>
      </c>
      <c r="C589" s="64">
        <f t="shared" si="12"/>
        <v>-2.752618324141825E-3</v>
      </c>
    </row>
    <row r="590" spans="1:3" ht="15.75" thickBot="1">
      <c r="A590" s="1328">
        <v>41652</v>
      </c>
      <c r="B590" s="1457">
        <v>15460</v>
      </c>
      <c r="C590" s="64">
        <f t="shared" si="12"/>
        <v>-9.0148710962154269E-3</v>
      </c>
    </row>
    <row r="591" spans="1:3" ht="15.75" thickBot="1">
      <c r="A591" s="1326">
        <v>41653</v>
      </c>
      <c r="B591" s="1458">
        <v>15460</v>
      </c>
      <c r="C591" s="64">
        <f t="shared" si="12"/>
        <v>0</v>
      </c>
    </row>
    <row r="592" spans="1:3" ht="15.75" thickBot="1">
      <c r="A592" s="1328">
        <v>41654</v>
      </c>
      <c r="B592" s="1457">
        <v>15590</v>
      </c>
      <c r="C592" s="64">
        <f t="shared" si="12"/>
        <v>8.3736399104091391E-3</v>
      </c>
    </row>
    <row r="593" spans="1:3" ht="15.75" thickBot="1">
      <c r="A593" s="1326">
        <v>41655</v>
      </c>
      <c r="B593" s="1458">
        <v>15400</v>
      </c>
      <c r="C593" s="64">
        <f t="shared" si="12"/>
        <v>-1.2262173650101628E-2</v>
      </c>
    </row>
    <row r="594" spans="1:3" ht="15.75" thickBot="1">
      <c r="A594" s="1328">
        <v>41656</v>
      </c>
      <c r="B594" s="1457">
        <v>15478</v>
      </c>
      <c r="C594" s="64">
        <f t="shared" si="12"/>
        <v>5.0521514286838345E-3</v>
      </c>
    </row>
    <row r="595" spans="1:3" ht="15.75" thickBot="1">
      <c r="A595" s="1326">
        <v>41660</v>
      </c>
      <c r="B595" s="1458">
        <v>15420</v>
      </c>
      <c r="C595" s="64">
        <f t="shared" si="12"/>
        <v>-3.7542927130839992E-3</v>
      </c>
    </row>
    <row r="596" spans="1:3" ht="15.75" thickBot="1">
      <c r="A596" s="1328">
        <v>41661</v>
      </c>
      <c r="B596" s="1457">
        <v>15370</v>
      </c>
      <c r="C596" s="64">
        <f t="shared" si="12"/>
        <v>-3.2478105846789262E-3</v>
      </c>
    </row>
    <row r="597" spans="1:3" ht="15.75" thickBot="1">
      <c r="A597" s="1326">
        <v>41662</v>
      </c>
      <c r="B597" s="1458">
        <v>15050.5</v>
      </c>
      <c r="C597" s="64">
        <f t="shared" si="12"/>
        <v>-2.1006344316115727E-2</v>
      </c>
    </row>
    <row r="598" spans="1:3" ht="15.75" thickBot="1">
      <c r="A598" s="1328">
        <v>41663</v>
      </c>
      <c r="B598" s="1457">
        <v>15000</v>
      </c>
      <c r="C598" s="64">
        <f t="shared" si="12"/>
        <v>-3.3610121321787623E-3</v>
      </c>
    </row>
    <row r="599" spans="1:3" ht="15.75" thickBot="1">
      <c r="A599" s="1326">
        <v>41666</v>
      </c>
      <c r="B599" s="1458">
        <v>14930</v>
      </c>
      <c r="C599" s="64">
        <f t="shared" si="12"/>
        <v>-4.6775895511110901E-3</v>
      </c>
    </row>
    <row r="600" spans="1:3" ht="15.75" thickBot="1">
      <c r="A600" s="1328">
        <v>41667</v>
      </c>
      <c r="B600" s="1457">
        <v>14700</v>
      </c>
      <c r="C600" s="64">
        <f t="shared" si="12"/>
        <v>-1.5525117766408456E-2</v>
      </c>
    </row>
    <row r="601" spans="1:3" ht="15.75" thickBot="1">
      <c r="A601" s="1326">
        <v>41668</v>
      </c>
      <c r="B601" s="1458">
        <v>14675</v>
      </c>
      <c r="C601" s="64">
        <f t="shared" si="12"/>
        <v>-1.7021280705304183E-3</v>
      </c>
    </row>
    <row r="602" spans="1:3" ht="15.75" thickBot="1">
      <c r="A602" s="1328">
        <v>41669</v>
      </c>
      <c r="B602" s="1457">
        <v>14624</v>
      </c>
      <c r="C602" s="64">
        <f t="shared" si="12"/>
        <v>-3.4813510023659448E-3</v>
      </c>
    </row>
    <row r="603" spans="1:3" ht="15.75" thickBot="1">
      <c r="A603" s="1326">
        <v>41670</v>
      </c>
      <c r="B603" s="1458">
        <v>14600</v>
      </c>
      <c r="C603" s="64">
        <f t="shared" si="12"/>
        <v>-1.6424859975034149E-3</v>
      </c>
    </row>
    <row r="604" spans="1:3" ht="15.75" thickBot="1">
      <c r="A604" s="1328">
        <v>41673</v>
      </c>
      <c r="B604" s="1457">
        <v>14522</v>
      </c>
      <c r="C604" s="64">
        <f t="shared" si="12"/>
        <v>-5.356787756235765E-3</v>
      </c>
    </row>
    <row r="605" spans="1:3" ht="15.75" thickBot="1">
      <c r="A605" s="1326">
        <v>41674</v>
      </c>
      <c r="B605" s="1458">
        <v>14520</v>
      </c>
      <c r="C605" s="64">
        <f t="shared" si="12"/>
        <v>-1.3773156140498051E-4</v>
      </c>
    </row>
    <row r="606" spans="1:3" ht="15.75" thickBot="1">
      <c r="A606" s="1328">
        <v>41675</v>
      </c>
      <c r="B606" s="1457">
        <v>14630</v>
      </c>
      <c r="C606" s="64">
        <f t="shared" si="12"/>
        <v>7.5472056353829038E-3</v>
      </c>
    </row>
    <row r="607" spans="1:3" ht="15.75" thickBot="1">
      <c r="A607" s="1326">
        <v>41676</v>
      </c>
      <c r="B607" s="1458">
        <v>14815</v>
      </c>
      <c r="C607" s="64">
        <f t="shared" si="12"/>
        <v>1.2565965993495664E-2</v>
      </c>
    </row>
    <row r="608" spans="1:3" ht="15.75" thickBot="1">
      <c r="A608" s="1328">
        <v>41677</v>
      </c>
      <c r="B608" s="1457">
        <v>15058</v>
      </c>
      <c r="C608" s="64">
        <f t="shared" si="12"/>
        <v>1.626923040240208E-2</v>
      </c>
    </row>
    <row r="609" spans="1:3" ht="15.75" thickBot="1">
      <c r="A609" s="1326">
        <v>41680</v>
      </c>
      <c r="B609" s="1458">
        <v>15058</v>
      </c>
      <c r="C609" s="64">
        <f t="shared" si="12"/>
        <v>0</v>
      </c>
    </row>
    <row r="610" spans="1:3" ht="15.75" thickBot="1">
      <c r="A610" s="1328">
        <v>41681</v>
      </c>
      <c r="B610" s="1457">
        <v>14850.5</v>
      </c>
      <c r="C610" s="64">
        <f t="shared" si="12"/>
        <v>-1.3875876712374797E-2</v>
      </c>
    </row>
    <row r="611" spans="1:3" ht="15.75" thickBot="1">
      <c r="A611" s="1326">
        <v>41682</v>
      </c>
      <c r="B611" s="1458">
        <v>15060</v>
      </c>
      <c r="C611" s="64">
        <f t="shared" si="12"/>
        <v>1.4008687656191687E-2</v>
      </c>
    </row>
    <row r="612" spans="1:3" ht="15.75" thickBot="1">
      <c r="A612" s="1328">
        <v>41683</v>
      </c>
      <c r="B612" s="1457">
        <v>15167</v>
      </c>
      <c r="C612" s="64">
        <f t="shared" si="12"/>
        <v>7.0797926975122629E-3</v>
      </c>
    </row>
    <row r="613" spans="1:3" ht="15.75" thickBot="1">
      <c r="A613" s="1326">
        <v>41684</v>
      </c>
      <c r="B613" s="1458">
        <v>15377</v>
      </c>
      <c r="C613" s="64">
        <f t="shared" si="12"/>
        <v>1.3750871464295985E-2</v>
      </c>
    </row>
    <row r="614" spans="1:3" ht="15.75" thickBot="1">
      <c r="A614" s="1328">
        <v>41687</v>
      </c>
      <c r="B614" s="1457">
        <v>15377</v>
      </c>
      <c r="C614" s="64">
        <f t="shared" si="12"/>
        <v>0</v>
      </c>
    </row>
    <row r="615" spans="1:3" ht="15.75" thickBot="1">
      <c r="A615" s="1326">
        <v>41688</v>
      </c>
      <c r="B615" s="1458">
        <v>15366</v>
      </c>
      <c r="C615" s="64">
        <f t="shared" si="12"/>
        <v>-7.1561008811264596E-4</v>
      </c>
    </row>
    <row r="616" spans="1:3" ht="15.75" thickBot="1">
      <c r="A616" s="1328">
        <v>41689</v>
      </c>
      <c r="B616" s="1457">
        <v>15450</v>
      </c>
      <c r="C616" s="64">
        <f t="shared" si="12"/>
        <v>5.4517268983112089E-3</v>
      </c>
    </row>
    <row r="617" spans="1:3" ht="15.75" thickBot="1">
      <c r="A617" s="1326">
        <v>41690</v>
      </c>
      <c r="B617" s="1458">
        <v>15350</v>
      </c>
      <c r="C617" s="64">
        <f t="shared" si="12"/>
        <v>-6.4935293105483427E-3</v>
      </c>
    </row>
    <row r="618" spans="1:3" ht="15.75" thickBot="1">
      <c r="A618" s="1328">
        <v>41691</v>
      </c>
      <c r="B618" s="1457">
        <v>15100.5</v>
      </c>
      <c r="C618" s="64">
        <f t="shared" si="12"/>
        <v>-1.6387618177755563E-2</v>
      </c>
    </row>
    <row r="619" spans="1:3" ht="15.75" thickBot="1">
      <c r="A619" s="1326">
        <v>41694</v>
      </c>
      <c r="B619" s="1458">
        <v>15380</v>
      </c>
      <c r="C619" s="64">
        <f t="shared" si="12"/>
        <v>1.8340108222047218E-2</v>
      </c>
    </row>
    <row r="620" spans="1:3" ht="15.75" thickBot="1">
      <c r="A620" s="1328">
        <v>41695</v>
      </c>
      <c r="B620" s="1457">
        <v>15100</v>
      </c>
      <c r="C620" s="64">
        <f t="shared" si="12"/>
        <v>-1.8373220256619294E-2</v>
      </c>
    </row>
    <row r="621" spans="1:3" ht="15.75" thickBot="1">
      <c r="A621" s="1326">
        <v>41696</v>
      </c>
      <c r="B621" s="1458">
        <v>14830</v>
      </c>
      <c r="C621" s="64">
        <f t="shared" si="12"/>
        <v>-1.8042587671037943E-2</v>
      </c>
    </row>
    <row r="622" spans="1:3" ht="15.75" thickBot="1">
      <c r="A622" s="1328">
        <v>41697</v>
      </c>
      <c r="B622" s="1457">
        <v>14880</v>
      </c>
      <c r="C622" s="64">
        <f t="shared" si="12"/>
        <v>3.3658732551051129E-3</v>
      </c>
    </row>
    <row r="623" spans="1:3" ht="15.75" thickBot="1">
      <c r="A623" s="1326">
        <v>41698</v>
      </c>
      <c r="B623" s="1458">
        <v>15170</v>
      </c>
      <c r="C623" s="64">
        <f t="shared" si="12"/>
        <v>1.930176395549511E-2</v>
      </c>
    </row>
    <row r="624" spans="1:3" ht="15.75" thickBot="1">
      <c r="A624" s="1328">
        <v>41701</v>
      </c>
      <c r="B624" s="1457">
        <v>15094</v>
      </c>
      <c r="C624" s="64">
        <f t="shared" si="12"/>
        <v>-5.0224794977642047E-3</v>
      </c>
    </row>
    <row r="625" spans="1:3" ht="15.75" thickBot="1">
      <c r="A625" s="1326">
        <v>41702</v>
      </c>
      <c r="B625" s="1458">
        <v>15094</v>
      </c>
      <c r="C625" s="64">
        <f t="shared" si="12"/>
        <v>0</v>
      </c>
    </row>
    <row r="626" spans="1:3" ht="15.75" thickBot="1">
      <c r="A626" s="1328">
        <v>41703</v>
      </c>
      <c r="B626" s="1457">
        <v>15605</v>
      </c>
      <c r="C626" s="64">
        <f t="shared" si="12"/>
        <v>3.3294061860066122E-2</v>
      </c>
    </row>
    <row r="627" spans="1:3" ht="15.75" thickBot="1">
      <c r="A627" s="1326">
        <v>41704</v>
      </c>
      <c r="B627" s="1458">
        <v>15945</v>
      </c>
      <c r="C627" s="64">
        <f t="shared" si="12"/>
        <v>2.1553924739278099E-2</v>
      </c>
    </row>
    <row r="628" spans="1:3" ht="15.75" thickBot="1">
      <c r="A628" s="1328">
        <v>41705</v>
      </c>
      <c r="B628" s="1457">
        <v>15773.5</v>
      </c>
      <c r="C628" s="64">
        <f t="shared" si="12"/>
        <v>-1.0813983719047994E-2</v>
      </c>
    </row>
    <row r="629" spans="1:3" ht="15.75" thickBot="1">
      <c r="A629" s="1326">
        <v>41708</v>
      </c>
      <c r="B629" s="1458">
        <v>15752.5</v>
      </c>
      <c r="C629" s="64">
        <f t="shared" si="12"/>
        <v>-1.332233908899471E-3</v>
      </c>
    </row>
    <row r="630" spans="1:3" ht="15.75" thickBot="1">
      <c r="A630" s="1328">
        <v>41709</v>
      </c>
      <c r="B630" s="1457">
        <v>15720</v>
      </c>
      <c r="C630" s="64">
        <f t="shared" si="12"/>
        <v>-2.0652958330130049E-3</v>
      </c>
    </row>
    <row r="631" spans="1:3" ht="15.75" thickBot="1">
      <c r="A631" s="1326">
        <v>41710</v>
      </c>
      <c r="B631" s="1458">
        <v>15720</v>
      </c>
      <c r="C631" s="64">
        <f t="shared" si="12"/>
        <v>0</v>
      </c>
    </row>
    <row r="632" spans="1:3" ht="15.75" thickBot="1">
      <c r="A632" s="1328">
        <v>41711</v>
      </c>
      <c r="B632" s="1457">
        <v>16040</v>
      </c>
      <c r="C632" s="64">
        <f t="shared" si="12"/>
        <v>2.0151815437307912E-2</v>
      </c>
    </row>
    <row r="633" spans="1:3" ht="15.75" thickBot="1">
      <c r="A633" s="1326">
        <v>41712</v>
      </c>
      <c r="B633" s="1458">
        <v>15940</v>
      </c>
      <c r="C633" s="64">
        <f t="shared" si="12"/>
        <v>-6.2539290762994564E-3</v>
      </c>
    </row>
    <row r="634" spans="1:3" ht="15.75" thickBot="1">
      <c r="A634" s="1328">
        <v>41715</v>
      </c>
      <c r="B634" s="1457">
        <v>15950</v>
      </c>
      <c r="C634" s="64">
        <f t="shared" si="12"/>
        <v>6.2715586878468537E-4</v>
      </c>
    </row>
    <row r="635" spans="1:3" ht="15.75" thickBot="1">
      <c r="A635" s="1326">
        <v>41716</v>
      </c>
      <c r="B635" s="1458">
        <v>15965</v>
      </c>
      <c r="C635" s="64">
        <f t="shared" si="12"/>
        <v>9.3999693589173305E-4</v>
      </c>
    </row>
    <row r="636" spans="1:3" ht="15.75" thickBot="1">
      <c r="A636" s="1328">
        <v>41717</v>
      </c>
      <c r="B636" s="1457">
        <v>16052</v>
      </c>
      <c r="C636" s="64">
        <f t="shared" si="12"/>
        <v>5.4346262379248991E-3</v>
      </c>
    </row>
    <row r="637" spans="1:3" ht="15.75" thickBot="1">
      <c r="A637" s="1326">
        <v>41718</v>
      </c>
      <c r="B637" s="1458">
        <v>16050</v>
      </c>
      <c r="C637" s="64">
        <f t="shared" si="12"/>
        <v>-1.2460282864538446E-4</v>
      </c>
    </row>
    <row r="638" spans="1:3" ht="15.75" thickBot="1">
      <c r="A638" s="1328">
        <v>41719</v>
      </c>
      <c r="B638" s="1457">
        <v>16172</v>
      </c>
      <c r="C638" s="64">
        <f t="shared" si="12"/>
        <v>7.5725022024995094E-3</v>
      </c>
    </row>
    <row r="639" spans="1:3" ht="15.75" thickBot="1">
      <c r="A639" s="1326">
        <v>41723</v>
      </c>
      <c r="B639" s="1458">
        <v>16400</v>
      </c>
      <c r="C639" s="64">
        <f t="shared" si="12"/>
        <v>1.3999983051628348E-2</v>
      </c>
    </row>
    <row r="640" spans="1:3" ht="15.75" thickBot="1">
      <c r="A640" s="1328">
        <v>41725</v>
      </c>
      <c r="B640" s="1457">
        <v>16615</v>
      </c>
      <c r="C640" s="64">
        <f t="shared" si="12"/>
        <v>1.302456697640493E-2</v>
      </c>
    </row>
    <row r="641" spans="1:3" ht="15.75" thickBot="1">
      <c r="A641" s="1326">
        <v>41726</v>
      </c>
      <c r="B641" s="1458">
        <v>16760</v>
      </c>
      <c r="C641" s="64">
        <f t="shared" si="12"/>
        <v>8.6891932473794065E-3</v>
      </c>
    </row>
    <row r="642" spans="1:3" ht="15.75" thickBot="1">
      <c r="A642" s="1328">
        <v>41729</v>
      </c>
      <c r="B642" s="1457">
        <v>16900</v>
      </c>
      <c r="C642" s="64">
        <f t="shared" si="12"/>
        <v>8.3185268750908137E-3</v>
      </c>
    </row>
    <row r="643" spans="1:3" ht="15.75" thickBot="1">
      <c r="A643" s="1326">
        <v>41730</v>
      </c>
      <c r="B643" s="1458">
        <v>16960</v>
      </c>
      <c r="C643" s="64">
        <f t="shared" si="12"/>
        <v>3.5440084347293315E-3</v>
      </c>
    </row>
    <row r="644" spans="1:3" ht="15.75" thickBot="1">
      <c r="A644" s="1328">
        <v>41731</v>
      </c>
      <c r="B644" s="1457">
        <v>17080</v>
      </c>
      <c r="C644" s="64">
        <f t="shared" ref="C644:C707" si="13">+LN(B644/B643)</f>
        <v>7.050557996666762E-3</v>
      </c>
    </row>
    <row r="645" spans="1:3" ht="15.75" thickBot="1">
      <c r="A645" s="1326">
        <v>41732</v>
      </c>
      <c r="B645" s="1458">
        <v>17166.5</v>
      </c>
      <c r="C645" s="64">
        <f t="shared" si="13"/>
        <v>5.0516218561627406E-3</v>
      </c>
    </row>
    <row r="646" spans="1:3" ht="15.75" thickBot="1">
      <c r="A646" s="1328">
        <v>41733</v>
      </c>
      <c r="B646" s="1457">
        <v>17070</v>
      </c>
      <c r="C646" s="64">
        <f t="shared" si="13"/>
        <v>-5.6372734102374004E-3</v>
      </c>
    </row>
    <row r="647" spans="1:3" ht="15.75" thickBot="1">
      <c r="A647" s="1326">
        <v>41736</v>
      </c>
      <c r="B647" s="1458">
        <v>16850</v>
      </c>
      <c r="C647" s="64">
        <f t="shared" si="13"/>
        <v>-1.2971880007978531E-2</v>
      </c>
    </row>
    <row r="648" spans="1:3" ht="15.75" thickBot="1">
      <c r="A648" s="1328">
        <v>41737</v>
      </c>
      <c r="B648" s="1457">
        <v>16785</v>
      </c>
      <c r="C648" s="64">
        <f t="shared" si="13"/>
        <v>-3.8650263663725401E-3</v>
      </c>
    </row>
    <row r="649" spans="1:3" ht="15.75" thickBot="1">
      <c r="A649" s="1326">
        <v>41738</v>
      </c>
      <c r="B649" s="1458">
        <v>16590</v>
      </c>
      <c r="C649" s="64">
        <f t="shared" si="13"/>
        <v>-1.1685526229645169E-2</v>
      </c>
    </row>
    <row r="650" spans="1:3" ht="15.75" thickBot="1">
      <c r="A650" s="1328">
        <v>41739</v>
      </c>
      <c r="B650" s="1457">
        <v>16834</v>
      </c>
      <c r="C650" s="64">
        <f t="shared" si="13"/>
        <v>1.4600546587031331E-2</v>
      </c>
    </row>
    <row r="651" spans="1:3" ht="15.75" thickBot="1">
      <c r="A651" s="1326">
        <v>41740</v>
      </c>
      <c r="B651" s="1458">
        <v>16790</v>
      </c>
      <c r="C651" s="64">
        <f t="shared" si="13"/>
        <v>-2.6171796999348938E-3</v>
      </c>
    </row>
    <row r="652" spans="1:3" ht="15.75" thickBot="1">
      <c r="A652" s="1328">
        <v>41743</v>
      </c>
      <c r="B652" s="1457">
        <v>16901.5</v>
      </c>
      <c r="C652" s="64">
        <f t="shared" si="13"/>
        <v>6.6189042973234819E-3</v>
      </c>
    </row>
    <row r="653" spans="1:3" ht="15.75" thickBot="1">
      <c r="A653" s="1326">
        <v>41744</v>
      </c>
      <c r="B653" s="1458">
        <v>16900</v>
      </c>
      <c r="C653" s="64">
        <f t="shared" si="13"/>
        <v>-8.8753457745013466E-5</v>
      </c>
    </row>
    <row r="654" spans="1:3" ht="15.75" thickBot="1">
      <c r="A654" s="1328">
        <v>41745</v>
      </c>
      <c r="B654" s="1457">
        <v>16726.5</v>
      </c>
      <c r="C654" s="64">
        <f t="shared" si="13"/>
        <v>-1.0319333837638573E-2</v>
      </c>
    </row>
    <row r="655" spans="1:3" ht="15.75" thickBot="1">
      <c r="A655" s="1326">
        <v>41750</v>
      </c>
      <c r="B655" s="1458">
        <v>16810</v>
      </c>
      <c r="C655" s="64">
        <f t="shared" si="13"/>
        <v>4.9796593291350577E-3</v>
      </c>
    </row>
    <row r="656" spans="1:3" ht="15.75" thickBot="1">
      <c r="A656" s="1328">
        <v>41751</v>
      </c>
      <c r="B656" s="1457">
        <v>16890</v>
      </c>
      <c r="C656" s="64">
        <f t="shared" si="13"/>
        <v>4.7477833991845667E-3</v>
      </c>
    </row>
    <row r="657" spans="1:3" ht="15.75" thickBot="1">
      <c r="A657" s="1326">
        <v>41752</v>
      </c>
      <c r="B657" s="1458">
        <v>16810</v>
      </c>
      <c r="C657" s="64">
        <f t="shared" si="13"/>
        <v>-4.747783399184519E-3</v>
      </c>
    </row>
    <row r="658" spans="1:3" ht="15.75" thickBot="1">
      <c r="A658" s="1328">
        <v>41753</v>
      </c>
      <c r="B658" s="1457">
        <v>16705</v>
      </c>
      <c r="C658" s="64">
        <f t="shared" si="13"/>
        <v>-6.2658716118043772E-3</v>
      </c>
    </row>
    <row r="659" spans="1:3" ht="15.75" thickBot="1">
      <c r="A659" s="1326">
        <v>41754</v>
      </c>
      <c r="B659" s="1458">
        <v>16775.5</v>
      </c>
      <c r="C659" s="64">
        <f t="shared" si="13"/>
        <v>4.2114128641423535E-3</v>
      </c>
    </row>
    <row r="660" spans="1:3" ht="15.75" thickBot="1">
      <c r="A660" s="1328">
        <v>41757</v>
      </c>
      <c r="B660" s="1457">
        <v>16740</v>
      </c>
      <c r="C660" s="64">
        <f t="shared" si="13"/>
        <v>-2.1184236115330047E-3</v>
      </c>
    </row>
    <row r="661" spans="1:3" ht="15.75" thickBot="1">
      <c r="A661" s="1326">
        <v>41758</v>
      </c>
      <c r="B661" s="1458">
        <v>16800</v>
      </c>
      <c r="C661" s="64">
        <f t="shared" si="13"/>
        <v>3.5778213478839024E-3</v>
      </c>
    </row>
    <row r="662" spans="1:3" ht="15.75" thickBot="1">
      <c r="A662" s="1328">
        <v>41759</v>
      </c>
      <c r="B662" s="1457">
        <v>16650</v>
      </c>
      <c r="C662" s="64">
        <f t="shared" si="13"/>
        <v>-8.9686699827603751E-3</v>
      </c>
    </row>
    <row r="663" spans="1:3" ht="15.75" thickBot="1">
      <c r="A663" s="1326">
        <v>41761</v>
      </c>
      <c r="B663" s="1458">
        <v>16690</v>
      </c>
      <c r="C663" s="64">
        <f t="shared" si="13"/>
        <v>2.3995212472907763E-3</v>
      </c>
    </row>
    <row r="664" spans="1:3" ht="15.75" thickBot="1">
      <c r="A664" s="1328">
        <v>41764</v>
      </c>
      <c r="B664" s="1457">
        <v>16590</v>
      </c>
      <c r="C664" s="64">
        <f t="shared" si="13"/>
        <v>-6.0096334713905684E-3</v>
      </c>
    </row>
    <row r="665" spans="1:3" ht="15.75" thickBot="1">
      <c r="A665" s="1326">
        <v>41765</v>
      </c>
      <c r="B665" s="1458">
        <v>16590</v>
      </c>
      <c r="C665" s="64">
        <f t="shared" si="13"/>
        <v>0</v>
      </c>
    </row>
    <row r="666" spans="1:3" ht="15.75" thickBot="1">
      <c r="A666" s="1328">
        <v>41766</v>
      </c>
      <c r="B666" s="1457">
        <v>16746</v>
      </c>
      <c r="C666" s="64">
        <f t="shared" si="13"/>
        <v>9.3593195798870772E-3</v>
      </c>
    </row>
    <row r="667" spans="1:3" ht="15.75" thickBot="1">
      <c r="A667" s="1326">
        <v>41767</v>
      </c>
      <c r="B667" s="1458">
        <v>16860</v>
      </c>
      <c r="C667" s="64">
        <f t="shared" si="13"/>
        <v>6.7845287914693421E-3</v>
      </c>
    </row>
    <row r="668" spans="1:3" ht="15.75" thickBot="1">
      <c r="A668" s="1328">
        <v>41768</v>
      </c>
      <c r="B668" s="1457">
        <v>16800</v>
      </c>
      <c r="C668" s="64">
        <f t="shared" si="13"/>
        <v>-3.5650661644961459E-3</v>
      </c>
    </row>
    <row r="669" spans="1:3" ht="15.75" thickBot="1">
      <c r="A669" s="1326">
        <v>41771</v>
      </c>
      <c r="B669" s="1458">
        <v>16900</v>
      </c>
      <c r="C669" s="64">
        <f t="shared" si="13"/>
        <v>5.9347355198145265E-3</v>
      </c>
    </row>
    <row r="670" spans="1:3" ht="15.75" thickBot="1">
      <c r="A670" s="1328">
        <v>41772</v>
      </c>
      <c r="B670" s="1457">
        <v>16920</v>
      </c>
      <c r="C670" s="64">
        <f t="shared" si="13"/>
        <v>1.1827322490493941E-3</v>
      </c>
    </row>
    <row r="671" spans="1:3" ht="15.75" thickBot="1">
      <c r="A671" s="1326">
        <v>41773</v>
      </c>
      <c r="B671" s="1458">
        <v>16932</v>
      </c>
      <c r="C671" s="64">
        <f t="shared" si="13"/>
        <v>7.0896848059998703E-4</v>
      </c>
    </row>
    <row r="672" spans="1:3" ht="15.75" thickBot="1">
      <c r="A672" s="1328">
        <v>41774</v>
      </c>
      <c r="B672" s="1457">
        <v>16820</v>
      </c>
      <c r="C672" s="64">
        <f t="shared" si="13"/>
        <v>-6.6366681138752964E-3</v>
      </c>
    </row>
    <row r="673" spans="1:3" ht="15.75" thickBot="1">
      <c r="A673" s="1326">
        <v>41775</v>
      </c>
      <c r="B673" s="1458">
        <v>16900.5</v>
      </c>
      <c r="C673" s="64">
        <f t="shared" si="13"/>
        <v>4.7745527453913542E-3</v>
      </c>
    </row>
    <row r="674" spans="1:3" ht="15.75" thickBot="1">
      <c r="A674" s="1328">
        <v>41778</v>
      </c>
      <c r="B674" s="1457">
        <v>16923</v>
      </c>
      <c r="C674" s="64">
        <f t="shared" si="13"/>
        <v>1.3304361357554947E-3</v>
      </c>
    </row>
    <row r="675" spans="1:3" ht="15.75" thickBot="1">
      <c r="A675" s="1326">
        <v>41779</v>
      </c>
      <c r="B675" s="1458">
        <v>16740</v>
      </c>
      <c r="C675" s="64">
        <f t="shared" si="13"/>
        <v>-1.0872578364619452E-2</v>
      </c>
    </row>
    <row r="676" spans="1:3" ht="15.75" thickBot="1">
      <c r="A676" s="1328">
        <v>41780</v>
      </c>
      <c r="B676" s="1457">
        <v>16806</v>
      </c>
      <c r="C676" s="64">
        <f t="shared" si="13"/>
        <v>3.9349004446971045E-3</v>
      </c>
    </row>
    <row r="677" spans="1:3" ht="15.75" thickBot="1">
      <c r="A677" s="1326">
        <v>41781</v>
      </c>
      <c r="B677" s="1458">
        <v>16700</v>
      </c>
      <c r="C677" s="64">
        <f t="shared" si="13"/>
        <v>-6.3272460833170745E-3</v>
      </c>
    </row>
    <row r="678" spans="1:3" ht="15.75" thickBot="1">
      <c r="A678" s="1328">
        <v>41782</v>
      </c>
      <c r="B678" s="1457">
        <v>16779.5</v>
      </c>
      <c r="C678" s="64">
        <f t="shared" si="13"/>
        <v>4.7491837945693267E-3</v>
      </c>
    </row>
    <row r="679" spans="1:3" ht="15.75" thickBot="1">
      <c r="A679" s="1326">
        <v>41785</v>
      </c>
      <c r="B679" s="1458">
        <v>16726</v>
      </c>
      <c r="C679" s="64">
        <f t="shared" si="13"/>
        <v>-3.1935082579447119E-3</v>
      </c>
    </row>
    <row r="680" spans="1:3" ht="15.75" thickBot="1">
      <c r="A680" s="1328">
        <v>41786</v>
      </c>
      <c r="B680" s="1457">
        <v>16750</v>
      </c>
      <c r="C680" s="64">
        <f t="shared" si="13"/>
        <v>1.4338633117413628E-3</v>
      </c>
    </row>
    <row r="681" spans="1:3" ht="15.75" thickBot="1">
      <c r="A681" s="1326">
        <v>41787</v>
      </c>
      <c r="B681" s="1458">
        <v>16680</v>
      </c>
      <c r="C681" s="64">
        <f t="shared" si="13"/>
        <v>-4.1878613404747406E-3</v>
      </c>
    </row>
    <row r="682" spans="1:3" ht="15.75" thickBot="1">
      <c r="A682" s="1328">
        <v>41788</v>
      </c>
      <c r="B682" s="1457">
        <v>16660</v>
      </c>
      <c r="C682" s="64">
        <f t="shared" si="13"/>
        <v>-1.1997601919040602E-3</v>
      </c>
    </row>
    <row r="683" spans="1:3" ht="15.75" thickBot="1">
      <c r="A683" s="1326">
        <v>41789</v>
      </c>
      <c r="B683" s="1458">
        <v>16665</v>
      </c>
      <c r="C683" s="64">
        <f t="shared" si="13"/>
        <v>3.0007502100643939E-4</v>
      </c>
    </row>
    <row r="684" spans="1:3" ht="15.75" thickBot="1">
      <c r="A684" s="1328">
        <v>41793</v>
      </c>
      <c r="B684" s="1457">
        <v>16757</v>
      </c>
      <c r="C684" s="64">
        <f t="shared" si="13"/>
        <v>5.5053696588840606E-3</v>
      </c>
    </row>
    <row r="685" spans="1:3" ht="15.75" thickBot="1">
      <c r="A685" s="1326">
        <v>41794</v>
      </c>
      <c r="B685" s="1458">
        <v>16810</v>
      </c>
      <c r="C685" s="64">
        <f t="shared" si="13"/>
        <v>3.1578660019371103E-3</v>
      </c>
    </row>
    <row r="686" spans="1:3" ht="15.75" thickBot="1">
      <c r="A686" s="1328">
        <v>41795</v>
      </c>
      <c r="B686" s="1457">
        <v>16879.5</v>
      </c>
      <c r="C686" s="64">
        <f t="shared" si="13"/>
        <v>4.1259204555001731E-3</v>
      </c>
    </row>
    <row r="687" spans="1:3" ht="15.75" thickBot="1">
      <c r="A687" s="1326">
        <v>41796</v>
      </c>
      <c r="B687" s="1458">
        <v>16915</v>
      </c>
      <c r="C687" s="64">
        <f t="shared" si="13"/>
        <v>2.1009343566474343E-3</v>
      </c>
    </row>
    <row r="688" spans="1:3" ht="15.75" thickBot="1">
      <c r="A688" s="1328">
        <v>41799</v>
      </c>
      <c r="B688" s="1457">
        <v>16909.5</v>
      </c>
      <c r="C688" s="64">
        <f t="shared" si="13"/>
        <v>-3.252080621132115E-4</v>
      </c>
    </row>
    <row r="689" spans="1:3" ht="15.75" thickBot="1">
      <c r="A689" s="1326">
        <v>41800</v>
      </c>
      <c r="B689" s="1458">
        <v>17160</v>
      </c>
      <c r="C689" s="64">
        <f t="shared" si="13"/>
        <v>1.470549988925768E-2</v>
      </c>
    </row>
    <row r="690" spans="1:3" ht="15.75" thickBot="1">
      <c r="A690" s="1328">
        <v>41801</v>
      </c>
      <c r="B690" s="1457">
        <v>17210</v>
      </c>
      <c r="C690" s="64">
        <f t="shared" si="13"/>
        <v>2.9095161636317575E-3</v>
      </c>
    </row>
    <row r="691" spans="1:3" ht="15.75" thickBot="1">
      <c r="A691" s="1326">
        <v>41802</v>
      </c>
      <c r="B691" s="1458">
        <v>17200</v>
      </c>
      <c r="C691" s="64">
        <f t="shared" si="13"/>
        <v>-5.812264040406975E-4</v>
      </c>
    </row>
    <row r="692" spans="1:3" ht="15.75" thickBot="1">
      <c r="A692" s="1328">
        <v>41803</v>
      </c>
      <c r="B692" s="1457">
        <v>17243</v>
      </c>
      <c r="C692" s="64">
        <f t="shared" si="13"/>
        <v>2.4968801985871458E-3</v>
      </c>
    </row>
    <row r="693" spans="1:3" ht="15.75" thickBot="1">
      <c r="A693" s="1326">
        <v>41806</v>
      </c>
      <c r="B693" s="1458">
        <v>17340</v>
      </c>
      <c r="C693" s="64">
        <f t="shared" si="13"/>
        <v>5.6097073344012396E-3</v>
      </c>
    </row>
    <row r="694" spans="1:3" ht="15.75" thickBot="1">
      <c r="A694" s="1328">
        <v>41807</v>
      </c>
      <c r="B694" s="1457">
        <v>17178</v>
      </c>
      <c r="C694" s="64">
        <f t="shared" si="13"/>
        <v>-9.3864760083628256E-3</v>
      </c>
    </row>
    <row r="695" spans="1:3" ht="15.75" thickBot="1">
      <c r="A695" s="1326">
        <v>41808</v>
      </c>
      <c r="B695" s="1458">
        <v>17270</v>
      </c>
      <c r="C695" s="64">
        <f t="shared" si="13"/>
        <v>5.3413968145541481E-3</v>
      </c>
    </row>
    <row r="696" spans="1:3" ht="15.75" thickBot="1">
      <c r="A696" s="1328">
        <v>41809</v>
      </c>
      <c r="B696" s="1457">
        <v>17340</v>
      </c>
      <c r="C696" s="64">
        <f t="shared" si="13"/>
        <v>4.0450791938086393E-3</v>
      </c>
    </row>
    <row r="697" spans="1:3" ht="15.75" thickBot="1">
      <c r="A697" s="1326">
        <v>41810</v>
      </c>
      <c r="B697" s="1458">
        <v>17350</v>
      </c>
      <c r="C697" s="64">
        <f t="shared" si="13"/>
        <v>5.7653504047237749E-4</v>
      </c>
    </row>
    <row r="698" spans="1:3" ht="15.75" thickBot="1">
      <c r="A698" s="1328">
        <v>41814</v>
      </c>
      <c r="B698" s="1457">
        <v>17400</v>
      </c>
      <c r="C698" s="64">
        <f t="shared" si="13"/>
        <v>2.8776998276151956E-3</v>
      </c>
    </row>
    <row r="699" spans="1:3" ht="15.75" thickBot="1">
      <c r="A699" s="1326">
        <v>41815</v>
      </c>
      <c r="B699" s="1458">
        <v>17247</v>
      </c>
      <c r="C699" s="64">
        <f t="shared" si="13"/>
        <v>-8.8319909112198162E-3</v>
      </c>
    </row>
    <row r="700" spans="1:3" ht="15.75" thickBot="1">
      <c r="A700" s="1328">
        <v>41816</v>
      </c>
      <c r="B700" s="1457">
        <v>17200</v>
      </c>
      <c r="C700" s="64">
        <f t="shared" si="13"/>
        <v>-2.7288314898562265E-3</v>
      </c>
    </row>
    <row r="701" spans="1:3" ht="15.75" thickBot="1">
      <c r="A701" s="1326">
        <v>41817</v>
      </c>
      <c r="B701" s="1458">
        <v>17183.5</v>
      </c>
      <c r="C701" s="64">
        <f t="shared" si="13"/>
        <v>-9.5976275053869637E-4</v>
      </c>
    </row>
    <row r="702" spans="1:3" ht="15.75" thickBot="1">
      <c r="A702" s="1328">
        <v>41821</v>
      </c>
      <c r="B702" s="1457">
        <v>17159</v>
      </c>
      <c r="C702" s="64">
        <f t="shared" si="13"/>
        <v>-1.4268037653846568E-3</v>
      </c>
    </row>
    <row r="703" spans="1:3" ht="15.75" thickBot="1">
      <c r="A703" s="1326">
        <v>41822</v>
      </c>
      <c r="B703" s="1458">
        <v>17120</v>
      </c>
      <c r="C703" s="64">
        <f t="shared" si="13"/>
        <v>-2.2754465898879401E-3</v>
      </c>
    </row>
    <row r="704" spans="1:3" ht="15.75" thickBot="1">
      <c r="A704" s="1328">
        <v>41823</v>
      </c>
      <c r="B704" s="1457">
        <v>17185</v>
      </c>
      <c r="C704" s="64">
        <f t="shared" si="13"/>
        <v>3.7895395882012505E-3</v>
      </c>
    </row>
    <row r="705" spans="1:3" ht="15.75" thickBot="1">
      <c r="A705" s="1326">
        <v>41827</v>
      </c>
      <c r="B705" s="1458">
        <v>17119</v>
      </c>
      <c r="C705" s="64">
        <f t="shared" si="13"/>
        <v>-3.8479525091558338E-3</v>
      </c>
    </row>
    <row r="706" spans="1:3" ht="15.75" thickBot="1">
      <c r="A706" s="1328">
        <v>41828</v>
      </c>
      <c r="B706" s="1457">
        <v>17050</v>
      </c>
      <c r="C706" s="64">
        <f t="shared" si="13"/>
        <v>-4.0387540631155721E-3</v>
      </c>
    </row>
    <row r="707" spans="1:3" ht="15.75" thickBot="1">
      <c r="A707" s="1326">
        <v>41829</v>
      </c>
      <c r="B707" s="1458">
        <v>16900</v>
      </c>
      <c r="C707" s="64">
        <f t="shared" si="13"/>
        <v>-8.8365818004980008E-3</v>
      </c>
    </row>
    <row r="708" spans="1:3" ht="15.75" thickBot="1">
      <c r="A708" s="1328">
        <v>41830</v>
      </c>
      <c r="B708" s="1457">
        <v>16920</v>
      </c>
      <c r="C708" s="64">
        <f t="shared" ref="C708:C771" si="14">+LN(B708/B707)</f>
        <v>1.1827322490493941E-3</v>
      </c>
    </row>
    <row r="709" spans="1:3" ht="15.75" thickBot="1">
      <c r="A709" s="1326">
        <v>41831</v>
      </c>
      <c r="B709" s="1458">
        <v>16930</v>
      </c>
      <c r="C709" s="64">
        <f t="shared" si="14"/>
        <v>5.9084196696664471E-4</v>
      </c>
    </row>
    <row r="710" spans="1:3" ht="15.75" thickBot="1">
      <c r="A710" s="1328">
        <v>41834</v>
      </c>
      <c r="B710" s="1457">
        <v>16937</v>
      </c>
      <c r="C710" s="64">
        <f t="shared" si="14"/>
        <v>4.1338176394030283E-4</v>
      </c>
    </row>
    <row r="711" spans="1:3" ht="15.75" thickBot="1">
      <c r="A711" s="1326">
        <v>41835</v>
      </c>
      <c r="B711" s="1458">
        <v>16865</v>
      </c>
      <c r="C711" s="64">
        <f t="shared" si="14"/>
        <v>-4.2601093953707064E-3</v>
      </c>
    </row>
    <row r="712" spans="1:3" ht="15.75" thickBot="1">
      <c r="A712" s="1328">
        <v>41836</v>
      </c>
      <c r="B712" s="1457">
        <v>17015</v>
      </c>
      <c r="C712" s="64">
        <f t="shared" si="14"/>
        <v>8.8548394392553732E-3</v>
      </c>
    </row>
    <row r="713" spans="1:3" ht="15.75" thickBot="1">
      <c r="A713" s="1326">
        <v>41837</v>
      </c>
      <c r="B713" s="1458">
        <v>16977</v>
      </c>
      <c r="C713" s="64">
        <f t="shared" si="14"/>
        <v>-2.2358211243725303E-3</v>
      </c>
    </row>
    <row r="714" spans="1:3" ht="15.75" thickBot="1">
      <c r="A714" s="1328">
        <v>41838</v>
      </c>
      <c r="B714" s="1457">
        <v>17035</v>
      </c>
      <c r="C714" s="64">
        <f t="shared" si="14"/>
        <v>3.4105642844334217E-3</v>
      </c>
    </row>
    <row r="715" spans="1:3" ht="15.75" thickBot="1">
      <c r="A715" s="1326">
        <v>41841</v>
      </c>
      <c r="B715" s="1458">
        <v>17056</v>
      </c>
      <c r="C715" s="64">
        <f t="shared" si="14"/>
        <v>1.231996870504221E-3</v>
      </c>
    </row>
    <row r="716" spans="1:3" ht="15.75" thickBot="1">
      <c r="A716" s="1328">
        <v>41842</v>
      </c>
      <c r="B716" s="1457">
        <v>17050</v>
      </c>
      <c r="C716" s="64">
        <f t="shared" si="14"/>
        <v>-3.5184425390823442E-4</v>
      </c>
    </row>
    <row r="717" spans="1:3" ht="15.75" thickBot="1">
      <c r="A717" s="1326">
        <v>41843</v>
      </c>
      <c r="B717" s="1458">
        <v>17099.5</v>
      </c>
      <c r="C717" s="64">
        <f t="shared" si="14"/>
        <v>2.8990195855162215E-3</v>
      </c>
    </row>
    <row r="718" spans="1:3" ht="15.75" thickBot="1">
      <c r="A718" s="1328">
        <v>41844</v>
      </c>
      <c r="B718" s="1457">
        <v>17096</v>
      </c>
      <c r="C718" s="64">
        <f t="shared" si="14"/>
        <v>-2.0470529819550004E-4</v>
      </c>
    </row>
    <row r="719" spans="1:3" ht="15.75" thickBot="1">
      <c r="A719" s="1326">
        <v>41845</v>
      </c>
      <c r="B719" s="1458">
        <v>17128</v>
      </c>
      <c r="C719" s="64">
        <f t="shared" si="14"/>
        <v>1.8700332705351445E-3</v>
      </c>
    </row>
    <row r="720" spans="1:3" ht="15.75" thickBot="1">
      <c r="A720" s="1328">
        <v>41848</v>
      </c>
      <c r="B720" s="1457">
        <v>17300</v>
      </c>
      <c r="C720" s="64">
        <f t="shared" si="14"/>
        <v>9.9919502163516444E-3</v>
      </c>
    </row>
    <row r="721" spans="1:3" ht="15.75" thickBot="1">
      <c r="A721" s="1326">
        <v>41849</v>
      </c>
      <c r="B721" s="1458">
        <v>17238</v>
      </c>
      <c r="C721" s="64">
        <f t="shared" si="14"/>
        <v>-3.5902522785257319E-3</v>
      </c>
    </row>
    <row r="722" spans="1:3" ht="15.75" thickBot="1">
      <c r="A722" s="1328">
        <v>41850</v>
      </c>
      <c r="B722" s="1457">
        <v>17200</v>
      </c>
      <c r="C722" s="64">
        <f t="shared" si="14"/>
        <v>-2.2068654058001605E-3</v>
      </c>
    </row>
    <row r="723" spans="1:3" ht="15.75" thickBot="1">
      <c r="A723" s="1326">
        <v>41852</v>
      </c>
      <c r="B723" s="1458">
        <v>17030</v>
      </c>
      <c r="C723" s="64">
        <f t="shared" si="14"/>
        <v>-9.9328891448104868E-3</v>
      </c>
    </row>
    <row r="724" spans="1:3" ht="15.75" thickBot="1">
      <c r="A724" s="1328">
        <v>41855</v>
      </c>
      <c r="B724" s="1457">
        <v>17221</v>
      </c>
      <c r="C724" s="64">
        <f t="shared" si="14"/>
        <v>1.115307464816551E-2</v>
      </c>
    </row>
    <row r="725" spans="1:3" ht="15.75" thickBot="1">
      <c r="A725" s="1326">
        <v>41856</v>
      </c>
      <c r="B725" s="1458">
        <v>17344</v>
      </c>
      <c r="C725" s="64">
        <f t="shared" si="14"/>
        <v>7.1170559344732017E-3</v>
      </c>
    </row>
    <row r="726" spans="1:3" ht="15.75" thickBot="1">
      <c r="A726" s="1328">
        <v>41857</v>
      </c>
      <c r="B726" s="1457">
        <v>17370</v>
      </c>
      <c r="C726" s="64">
        <f t="shared" si="14"/>
        <v>1.4979549957777794E-3</v>
      </c>
    </row>
    <row r="727" spans="1:3" ht="15.75" thickBot="1">
      <c r="A727" s="1326">
        <v>41859</v>
      </c>
      <c r="B727" s="1458">
        <v>17356</v>
      </c>
      <c r="C727" s="64">
        <f t="shared" si="14"/>
        <v>-8.0631231690933515E-4</v>
      </c>
    </row>
    <row r="728" spans="1:3" ht="15.75" thickBot="1">
      <c r="A728" s="1328">
        <v>41862</v>
      </c>
      <c r="B728" s="1457">
        <v>17447.5</v>
      </c>
      <c r="C728" s="64">
        <f t="shared" si="14"/>
        <v>5.2581039730652821E-3</v>
      </c>
    </row>
    <row r="729" spans="1:3" ht="15.75" thickBot="1">
      <c r="A729" s="1326">
        <v>41863</v>
      </c>
      <c r="B729" s="1458">
        <v>17340</v>
      </c>
      <c r="C729" s="64">
        <f t="shared" si="14"/>
        <v>-6.1804005567738926E-3</v>
      </c>
    </row>
    <row r="730" spans="1:3" ht="15.75" thickBot="1">
      <c r="A730" s="1328">
        <v>41864</v>
      </c>
      <c r="B730" s="1457">
        <v>17300</v>
      </c>
      <c r="C730" s="64">
        <f t="shared" si="14"/>
        <v>-2.3094698486625289E-3</v>
      </c>
    </row>
    <row r="731" spans="1:3" ht="15.75" thickBot="1">
      <c r="A731" s="1326">
        <v>41865</v>
      </c>
      <c r="B731" s="1458">
        <v>17350</v>
      </c>
      <c r="C731" s="64">
        <f t="shared" si="14"/>
        <v>2.8860048891348514E-3</v>
      </c>
    </row>
    <row r="732" spans="1:3" ht="15.75" thickBot="1">
      <c r="A732" s="1328">
        <v>41866</v>
      </c>
      <c r="B732" s="1457">
        <v>17350</v>
      </c>
      <c r="C732" s="64">
        <f t="shared" si="14"/>
        <v>0</v>
      </c>
    </row>
    <row r="733" spans="1:3" ht="15.75" thickBot="1">
      <c r="A733" s="1326">
        <v>41870</v>
      </c>
      <c r="B733" s="1458">
        <v>17470.5</v>
      </c>
      <c r="C733" s="64">
        <f t="shared" si="14"/>
        <v>6.921237835811056E-3</v>
      </c>
    </row>
    <row r="734" spans="1:3" ht="15.75" thickBot="1">
      <c r="A734" s="1328">
        <v>41871</v>
      </c>
      <c r="B734" s="1457">
        <v>17570</v>
      </c>
      <c r="C734" s="64">
        <f t="shared" si="14"/>
        <v>5.6791579703266218E-3</v>
      </c>
    </row>
    <row r="735" spans="1:3" ht="15.75" thickBot="1">
      <c r="A735" s="1326">
        <v>41872</v>
      </c>
      <c r="B735" s="1458">
        <v>17630</v>
      </c>
      <c r="C735" s="64">
        <f t="shared" si="14"/>
        <v>3.4090942107730961E-3</v>
      </c>
    </row>
    <row r="736" spans="1:3" ht="15.75" thickBot="1">
      <c r="A736" s="1328">
        <v>41873</v>
      </c>
      <c r="B736" s="1457">
        <v>17630</v>
      </c>
      <c r="C736" s="64">
        <f t="shared" si="14"/>
        <v>0</v>
      </c>
    </row>
    <row r="737" spans="1:3" ht="15.75" thickBot="1">
      <c r="A737" s="1326">
        <v>41876</v>
      </c>
      <c r="B737" s="1458">
        <v>17588</v>
      </c>
      <c r="C737" s="64">
        <f t="shared" si="14"/>
        <v>-2.3851450912151986E-3</v>
      </c>
    </row>
    <row r="738" spans="1:3" ht="15.75" thickBot="1">
      <c r="A738" s="1328">
        <v>41877</v>
      </c>
      <c r="B738" s="1457">
        <v>17635</v>
      </c>
      <c r="C738" s="64">
        <f t="shared" si="14"/>
        <v>2.66871236945166E-3</v>
      </c>
    </row>
    <row r="739" spans="1:3" ht="15.75" thickBot="1">
      <c r="A739" s="1326">
        <v>41878</v>
      </c>
      <c r="B739" s="1458">
        <v>17744.5</v>
      </c>
      <c r="C739" s="64">
        <f t="shared" si="14"/>
        <v>6.1900450622127592E-3</v>
      </c>
    </row>
    <row r="740" spans="1:3" ht="15.75" thickBot="1">
      <c r="A740" s="1328">
        <v>41879</v>
      </c>
      <c r="B740" s="1457">
        <v>17750.5</v>
      </c>
      <c r="C740" s="64">
        <f t="shared" si="14"/>
        <v>3.3807578854196845E-4</v>
      </c>
    </row>
    <row r="741" spans="1:3" ht="15.75" thickBot="1">
      <c r="A741" s="1326">
        <v>41880</v>
      </c>
      <c r="B741" s="1458">
        <v>17850</v>
      </c>
      <c r="C741" s="64">
        <f t="shared" si="14"/>
        <v>5.5898236868781107E-3</v>
      </c>
    </row>
    <row r="742" spans="1:3" ht="15.75" thickBot="1">
      <c r="A742" s="1328">
        <v>41883</v>
      </c>
      <c r="B742" s="1457">
        <v>17898.5</v>
      </c>
      <c r="C742" s="64">
        <f t="shared" si="14"/>
        <v>2.7134022270571653E-3</v>
      </c>
    </row>
    <row r="743" spans="1:3" ht="15.75" thickBot="1">
      <c r="A743" s="1326">
        <v>41884</v>
      </c>
      <c r="B743" s="1458">
        <v>18000</v>
      </c>
      <c r="C743" s="64">
        <f t="shared" si="14"/>
        <v>5.6548474434595531E-3</v>
      </c>
    </row>
    <row r="744" spans="1:3" ht="15.75" thickBot="1">
      <c r="A744" s="1328">
        <v>41885</v>
      </c>
      <c r="B744" s="1457">
        <v>17941.5</v>
      </c>
      <c r="C744" s="64">
        <f t="shared" si="14"/>
        <v>-3.2552927206726252E-3</v>
      </c>
    </row>
    <row r="745" spans="1:3" ht="15.75" thickBot="1">
      <c r="A745" s="1326">
        <v>41886</v>
      </c>
      <c r="B745" s="1458">
        <v>17870</v>
      </c>
      <c r="C745" s="64">
        <f t="shared" si="14"/>
        <v>-3.9931360041554134E-3</v>
      </c>
    </row>
    <row r="746" spans="1:3" ht="15.75" thickBot="1">
      <c r="A746" s="1328">
        <v>41887</v>
      </c>
      <c r="B746" s="1457">
        <v>17751.5</v>
      </c>
      <c r="C746" s="64">
        <f t="shared" si="14"/>
        <v>-6.653309778177274E-3</v>
      </c>
    </row>
    <row r="747" spans="1:3" ht="15.75" thickBot="1">
      <c r="A747" s="1326">
        <v>41890</v>
      </c>
      <c r="B747" s="1458">
        <v>17620</v>
      </c>
      <c r="C747" s="64">
        <f t="shared" si="14"/>
        <v>-7.4353988851259406E-3</v>
      </c>
    </row>
    <row r="748" spans="1:3" ht="15.75" thickBot="1">
      <c r="A748" s="1328">
        <v>41891</v>
      </c>
      <c r="B748" s="1457">
        <v>17560</v>
      </c>
      <c r="C748" s="64">
        <f t="shared" si="14"/>
        <v>-3.411032301062821E-3</v>
      </c>
    </row>
    <row r="749" spans="1:3" ht="15.75" thickBot="1">
      <c r="A749" s="1326">
        <v>41892</v>
      </c>
      <c r="B749" s="1458">
        <v>17579.5</v>
      </c>
      <c r="C749" s="64">
        <f t="shared" si="14"/>
        <v>1.1098622349018552E-3</v>
      </c>
    </row>
    <row r="750" spans="1:3" ht="15.75" thickBot="1">
      <c r="A750" s="1328">
        <v>41893</v>
      </c>
      <c r="B750" s="1457">
        <v>17550</v>
      </c>
      <c r="C750" s="64">
        <f t="shared" si="14"/>
        <v>-1.6795005299975409E-3</v>
      </c>
    </row>
    <row r="751" spans="1:3" ht="15.75" thickBot="1">
      <c r="A751" s="1326">
        <v>41894</v>
      </c>
      <c r="B751" s="1458">
        <v>17532</v>
      </c>
      <c r="C751" s="64">
        <f t="shared" si="14"/>
        <v>-1.0261673553121173E-3</v>
      </c>
    </row>
    <row r="752" spans="1:3" ht="15.75" thickBot="1">
      <c r="A752" s="1328">
        <v>41897</v>
      </c>
      <c r="B752" s="1457">
        <v>17499.5</v>
      </c>
      <c r="C752" s="64">
        <f t="shared" si="14"/>
        <v>-1.8554734638368067E-3</v>
      </c>
    </row>
    <row r="753" spans="1:3" ht="15.75" thickBot="1">
      <c r="A753" s="1326">
        <v>41898</v>
      </c>
      <c r="B753" s="1458">
        <v>17502</v>
      </c>
      <c r="C753" s="64">
        <f t="shared" si="14"/>
        <v>1.4285102091343162E-4</v>
      </c>
    </row>
    <row r="754" spans="1:3" ht="15.75" thickBot="1">
      <c r="A754" s="1328">
        <v>41899</v>
      </c>
      <c r="B754" s="1457">
        <v>17475</v>
      </c>
      <c r="C754" s="64">
        <f t="shared" si="14"/>
        <v>-1.5438719937653782E-3</v>
      </c>
    </row>
    <row r="755" spans="1:3" ht="15.75" thickBot="1">
      <c r="A755" s="1326">
        <v>41900</v>
      </c>
      <c r="B755" s="1458">
        <v>17478</v>
      </c>
      <c r="C755" s="64">
        <f t="shared" si="14"/>
        <v>1.7165908547869872E-4</v>
      </c>
    </row>
    <row r="756" spans="1:3" ht="15.75" thickBot="1">
      <c r="A756" s="1328">
        <v>41901</v>
      </c>
      <c r="B756" s="1457">
        <v>17530</v>
      </c>
      <c r="C756" s="64">
        <f t="shared" si="14"/>
        <v>2.9707517277905954E-3</v>
      </c>
    </row>
    <row r="757" spans="1:3" ht="15.75" thickBot="1">
      <c r="A757" s="1326">
        <v>41904</v>
      </c>
      <c r="B757" s="1458">
        <v>17432</v>
      </c>
      <c r="C757" s="64">
        <f t="shared" si="14"/>
        <v>-5.6061012908243243E-3</v>
      </c>
    </row>
    <row r="758" spans="1:3" ht="15.75" thickBot="1">
      <c r="A758" s="1328">
        <v>41905</v>
      </c>
      <c r="B758" s="1457">
        <v>17230</v>
      </c>
      <c r="C758" s="64">
        <f t="shared" si="14"/>
        <v>-1.1655547102480474E-2</v>
      </c>
    </row>
    <row r="759" spans="1:3" ht="15.75" thickBot="1">
      <c r="A759" s="1326">
        <v>41906</v>
      </c>
      <c r="B759" s="1458">
        <v>17165</v>
      </c>
      <c r="C759" s="64">
        <f t="shared" si="14"/>
        <v>-3.7796236301828891E-3</v>
      </c>
    </row>
    <row r="760" spans="1:3" ht="15.75" thickBot="1">
      <c r="A760" s="1328">
        <v>41907</v>
      </c>
      <c r="B760" s="1457">
        <v>16939</v>
      </c>
      <c r="C760" s="64">
        <f t="shared" si="14"/>
        <v>-1.3253771305410564E-2</v>
      </c>
    </row>
    <row r="761" spans="1:3" ht="15.75" thickBot="1">
      <c r="A761" s="1326">
        <v>41908</v>
      </c>
      <c r="B761" s="1458">
        <v>17021.5</v>
      </c>
      <c r="C761" s="64">
        <f t="shared" si="14"/>
        <v>4.8585952674919273E-3</v>
      </c>
    </row>
    <row r="762" spans="1:3" ht="15.75" thickBot="1">
      <c r="A762" s="1328">
        <v>41911</v>
      </c>
      <c r="B762" s="1457">
        <v>16890</v>
      </c>
      <c r="C762" s="64">
        <f t="shared" si="14"/>
        <v>-7.7555200520278986E-3</v>
      </c>
    </row>
    <row r="763" spans="1:3" ht="15.75" thickBot="1">
      <c r="A763" s="1326">
        <v>41912</v>
      </c>
      <c r="B763" s="1458">
        <v>16929</v>
      </c>
      <c r="C763" s="64">
        <f t="shared" si="14"/>
        <v>2.306396835404055E-3</v>
      </c>
    </row>
    <row r="764" spans="1:3" ht="15.75" thickBot="1">
      <c r="A764" s="1328">
        <v>41913</v>
      </c>
      <c r="B764" s="1457">
        <v>16600.5</v>
      </c>
      <c r="C764" s="64">
        <f t="shared" si="14"/>
        <v>-1.9595312264300061E-2</v>
      </c>
    </row>
    <row r="765" spans="1:3" ht="15.75" thickBot="1">
      <c r="A765" s="1326">
        <v>41914</v>
      </c>
      <c r="B765" s="1458">
        <v>16443</v>
      </c>
      <c r="C765" s="64">
        <f t="shared" si="14"/>
        <v>-9.5329606587236382E-3</v>
      </c>
    </row>
    <row r="766" spans="1:3" ht="15.75" thickBot="1">
      <c r="A766" s="1328">
        <v>41915</v>
      </c>
      <c r="B766" s="1457">
        <v>16702</v>
      </c>
      <c r="C766" s="64">
        <f t="shared" si="14"/>
        <v>1.5628617998948737E-2</v>
      </c>
    </row>
    <row r="767" spans="1:3" ht="15.75" thickBot="1">
      <c r="A767" s="1326">
        <v>41918</v>
      </c>
      <c r="B767" s="1458">
        <v>16900</v>
      </c>
      <c r="C767" s="64">
        <f t="shared" si="14"/>
        <v>1.1785149197990055E-2</v>
      </c>
    </row>
    <row r="768" spans="1:3" ht="15.75" thickBot="1">
      <c r="A768" s="1328">
        <v>41919</v>
      </c>
      <c r="B768" s="1457">
        <v>16706</v>
      </c>
      <c r="C768" s="64">
        <f t="shared" si="14"/>
        <v>-1.1545685595313214E-2</v>
      </c>
    </row>
    <row r="769" spans="1:3" ht="15.75" thickBot="1">
      <c r="A769" s="1326">
        <v>41920</v>
      </c>
      <c r="B769" s="1458">
        <v>16648</v>
      </c>
      <c r="C769" s="64">
        <f t="shared" si="14"/>
        <v>-3.477847242381189E-3</v>
      </c>
    </row>
    <row r="770" spans="1:3" ht="15.75" thickBot="1">
      <c r="A770" s="1328">
        <v>41921</v>
      </c>
      <c r="B770" s="1457">
        <v>16610</v>
      </c>
      <c r="C770" s="64">
        <f t="shared" si="14"/>
        <v>-2.2851654661297962E-3</v>
      </c>
    </row>
    <row r="771" spans="1:3" ht="15.75" thickBot="1">
      <c r="A771" s="1326">
        <v>41922</v>
      </c>
      <c r="B771" s="1458">
        <v>16500</v>
      </c>
      <c r="C771" s="64">
        <f t="shared" si="14"/>
        <v>-6.6445427186686131E-3</v>
      </c>
    </row>
    <row r="772" spans="1:3" ht="15.75" thickBot="1">
      <c r="A772" s="1328">
        <v>41926</v>
      </c>
      <c r="B772" s="1457">
        <v>16176</v>
      </c>
      <c r="C772" s="64">
        <f t="shared" ref="C772:C835" si="15">+LN(B772/B771)</f>
        <v>-1.9831718628419363E-2</v>
      </c>
    </row>
    <row r="773" spans="1:3" ht="15.75" thickBot="1">
      <c r="A773" s="1326">
        <v>41927</v>
      </c>
      <c r="B773" s="1458">
        <v>15870</v>
      </c>
      <c r="C773" s="64">
        <f t="shared" si="15"/>
        <v>-1.9098127739797927E-2</v>
      </c>
    </row>
    <row r="774" spans="1:3" ht="15.75" thickBot="1">
      <c r="A774" s="1328">
        <v>41928</v>
      </c>
      <c r="B774" s="1457">
        <v>16252</v>
      </c>
      <c r="C774" s="64">
        <f t="shared" si="15"/>
        <v>2.3785443587162603E-2</v>
      </c>
    </row>
    <row r="775" spans="1:3" ht="15.75" thickBot="1">
      <c r="A775" s="1326">
        <v>41929</v>
      </c>
      <c r="B775" s="1458">
        <v>16428</v>
      </c>
      <c r="C775" s="64">
        <f t="shared" si="15"/>
        <v>1.07712179688319E-2</v>
      </c>
    </row>
    <row r="776" spans="1:3" ht="15.75" thickBot="1">
      <c r="A776" s="1328">
        <v>41932</v>
      </c>
      <c r="B776" s="1457">
        <v>16378.5</v>
      </c>
      <c r="C776" s="64">
        <f t="shared" si="15"/>
        <v>-3.0176969542186059E-3</v>
      </c>
    </row>
    <row r="777" spans="1:3" ht="15.75" thickBot="1">
      <c r="A777" s="1326">
        <v>41933</v>
      </c>
      <c r="B777" s="1458">
        <v>16420</v>
      </c>
      <c r="C777" s="64">
        <f t="shared" si="15"/>
        <v>2.530604884188659E-3</v>
      </c>
    </row>
    <row r="778" spans="1:3" ht="15.75" thickBot="1">
      <c r="A778" s="1328">
        <v>41934</v>
      </c>
      <c r="B778" s="1457">
        <v>16390</v>
      </c>
      <c r="C778" s="64">
        <f t="shared" si="15"/>
        <v>-1.8287112685438916E-3</v>
      </c>
    </row>
    <row r="779" spans="1:3" ht="15.75" thickBot="1">
      <c r="A779" s="1326">
        <v>41935</v>
      </c>
      <c r="B779" s="1458">
        <v>16425</v>
      </c>
      <c r="C779" s="64">
        <f t="shared" si="15"/>
        <v>2.1331716149359647E-3</v>
      </c>
    </row>
    <row r="780" spans="1:3" ht="15.75" thickBot="1">
      <c r="A780" s="1328">
        <v>41939</v>
      </c>
      <c r="B780" s="1457">
        <v>16300</v>
      </c>
      <c r="C780" s="64">
        <f t="shared" si="15"/>
        <v>-7.6394565579576143E-3</v>
      </c>
    </row>
    <row r="781" spans="1:3" ht="15.75" thickBot="1">
      <c r="A781" s="1326">
        <v>41940</v>
      </c>
      <c r="B781" s="1458">
        <v>16250</v>
      </c>
      <c r="C781" s="64">
        <f t="shared" si="15"/>
        <v>-3.0721990369701403E-3</v>
      </c>
    </row>
    <row r="782" spans="1:3" ht="15.75" thickBot="1">
      <c r="A782" s="1328">
        <v>41941</v>
      </c>
      <c r="B782" s="1457">
        <v>16280</v>
      </c>
      <c r="C782" s="64">
        <f t="shared" si="15"/>
        <v>1.8444517986477319E-3</v>
      </c>
    </row>
    <row r="783" spans="1:3" ht="15.75" thickBot="1">
      <c r="A783" s="1326">
        <v>41942</v>
      </c>
      <c r="B783" s="1458">
        <v>16370</v>
      </c>
      <c r="C783" s="64">
        <f t="shared" si="15"/>
        <v>5.5130308086491896E-3</v>
      </c>
    </row>
    <row r="784" spans="1:3" ht="15.75" thickBot="1">
      <c r="A784" s="1328">
        <v>41943</v>
      </c>
      <c r="B784" s="1457">
        <v>16560</v>
      </c>
      <c r="C784" s="64">
        <f t="shared" si="15"/>
        <v>1.1539757574070128E-2</v>
      </c>
    </row>
    <row r="785" spans="1:3" ht="15.75" thickBot="1">
      <c r="A785" s="1326">
        <v>41947</v>
      </c>
      <c r="B785" s="1458">
        <v>16457.5</v>
      </c>
      <c r="C785" s="64">
        <f t="shared" si="15"/>
        <v>-6.2088485972189742E-3</v>
      </c>
    </row>
    <row r="786" spans="1:3" ht="15.75" thickBot="1">
      <c r="A786" s="1328">
        <v>41948</v>
      </c>
      <c r="B786" s="1457">
        <v>16476</v>
      </c>
      <c r="C786" s="64">
        <f t="shared" si="15"/>
        <v>1.1234762139396913E-3</v>
      </c>
    </row>
    <row r="787" spans="1:3" ht="15.75" thickBot="1">
      <c r="A787" s="1326">
        <v>41949</v>
      </c>
      <c r="B787" s="1458">
        <v>16620</v>
      </c>
      <c r="C787" s="64">
        <f t="shared" si="15"/>
        <v>8.702012853467847E-3</v>
      </c>
    </row>
    <row r="788" spans="1:3" ht="15.75" thickBot="1">
      <c r="A788" s="1328">
        <v>41950</v>
      </c>
      <c r="B788" s="1457">
        <v>16634</v>
      </c>
      <c r="C788" s="64">
        <f t="shared" si="15"/>
        <v>8.4200401919372E-4</v>
      </c>
    </row>
    <row r="789" spans="1:3" ht="15.75" thickBot="1">
      <c r="A789" s="1326">
        <v>41953</v>
      </c>
      <c r="B789" s="1458">
        <v>16520</v>
      </c>
      <c r="C789" s="64">
        <f t="shared" si="15"/>
        <v>-6.8770253536637937E-3</v>
      </c>
    </row>
    <row r="790" spans="1:3" ht="15.75" thickBot="1">
      <c r="A790" s="1328">
        <v>41954</v>
      </c>
      <c r="B790" s="1457">
        <v>16343</v>
      </c>
      <c r="C790" s="64">
        <f t="shared" si="15"/>
        <v>-1.077209698191107E-2</v>
      </c>
    </row>
    <row r="791" spans="1:3" ht="15.75" thickBot="1">
      <c r="A791" s="1326">
        <v>41955</v>
      </c>
      <c r="B791" s="1458">
        <v>16410</v>
      </c>
      <c r="C791" s="64">
        <f t="shared" si="15"/>
        <v>4.0912339910786927E-3</v>
      </c>
    </row>
    <row r="792" spans="1:3" ht="15.75" thickBot="1">
      <c r="A792" s="1328">
        <v>41956</v>
      </c>
      <c r="B792" s="1457">
        <v>16222</v>
      </c>
      <c r="C792" s="64">
        <f t="shared" si="15"/>
        <v>-1.1522559453846504E-2</v>
      </c>
    </row>
    <row r="793" spans="1:3" ht="15.75" thickBot="1">
      <c r="A793" s="1326">
        <v>41957</v>
      </c>
      <c r="B793" s="1458">
        <v>16028</v>
      </c>
      <c r="C793" s="64">
        <f t="shared" si="15"/>
        <v>-1.2031152874254821E-2</v>
      </c>
    </row>
    <row r="794" spans="1:3" ht="15.75" thickBot="1">
      <c r="A794" s="1328">
        <v>41961</v>
      </c>
      <c r="B794" s="1457">
        <v>16105</v>
      </c>
      <c r="C794" s="64">
        <f t="shared" si="15"/>
        <v>4.792590009264068E-3</v>
      </c>
    </row>
    <row r="795" spans="1:3" ht="15.75" thickBot="1">
      <c r="A795" s="1326">
        <v>41962</v>
      </c>
      <c r="B795" s="1458">
        <v>16000</v>
      </c>
      <c r="C795" s="64">
        <f t="shared" si="15"/>
        <v>-6.5410605433809232E-3</v>
      </c>
    </row>
    <row r="796" spans="1:3" ht="15.75" thickBot="1">
      <c r="A796" s="1328">
        <v>41963</v>
      </c>
      <c r="B796" s="1457">
        <v>16000</v>
      </c>
      <c r="C796" s="64">
        <f t="shared" si="15"/>
        <v>0</v>
      </c>
    </row>
    <row r="797" spans="1:3" ht="15.75" thickBot="1">
      <c r="A797" s="1326">
        <v>41964</v>
      </c>
      <c r="B797" s="1458">
        <v>16090</v>
      </c>
      <c r="C797" s="64">
        <f t="shared" si="15"/>
        <v>5.6092387645105945E-3</v>
      </c>
    </row>
    <row r="798" spans="1:3" ht="15.75" thickBot="1">
      <c r="A798" s="1328">
        <v>41967</v>
      </c>
      <c r="B798" s="1457">
        <v>15970</v>
      </c>
      <c r="C798" s="64">
        <f t="shared" si="15"/>
        <v>-7.4859987773708003E-3</v>
      </c>
    </row>
    <row r="799" spans="1:3" ht="15.75" thickBot="1">
      <c r="A799" s="1326">
        <v>41968</v>
      </c>
      <c r="B799" s="1458">
        <v>15810</v>
      </c>
      <c r="C799" s="64">
        <f t="shared" si="15"/>
        <v>-1.0069311005540446E-2</v>
      </c>
    </row>
    <row r="800" spans="1:3" ht="15.75" thickBot="1">
      <c r="A800" s="1328">
        <v>41969</v>
      </c>
      <c r="B800" s="1457">
        <v>15675</v>
      </c>
      <c r="C800" s="64">
        <f t="shared" si="15"/>
        <v>-8.5755647023962617E-3</v>
      </c>
    </row>
    <row r="801" spans="1:3" ht="15.75" thickBot="1">
      <c r="A801" s="1326">
        <v>41970</v>
      </c>
      <c r="B801" s="1458">
        <v>15494</v>
      </c>
      <c r="C801" s="64">
        <f t="shared" si="15"/>
        <v>-1.1614234309273636E-2</v>
      </c>
    </row>
    <row r="802" spans="1:3" ht="15.75" thickBot="1">
      <c r="A802" s="1328">
        <v>41971</v>
      </c>
      <c r="B802" s="1457">
        <v>15320</v>
      </c>
      <c r="C802" s="64">
        <f t="shared" si="15"/>
        <v>-1.1293687897265521E-2</v>
      </c>
    </row>
    <row r="803" spans="1:3" ht="15.75" thickBot="1">
      <c r="A803" s="1326">
        <v>41974</v>
      </c>
      <c r="B803" s="1458">
        <v>15175</v>
      </c>
      <c r="C803" s="64">
        <f t="shared" si="15"/>
        <v>-9.5098273668832306E-3</v>
      </c>
    </row>
    <row r="804" spans="1:3" ht="15.75" thickBot="1">
      <c r="A804" s="1328">
        <v>41975</v>
      </c>
      <c r="B804" s="1457">
        <v>15190</v>
      </c>
      <c r="C804" s="64">
        <f t="shared" si="15"/>
        <v>9.8797966211946748E-4</v>
      </c>
    </row>
    <row r="805" spans="1:3" ht="15.75" thickBot="1">
      <c r="A805" s="1326">
        <v>41976</v>
      </c>
      <c r="B805" s="1458">
        <v>15250</v>
      </c>
      <c r="C805" s="64">
        <f t="shared" si="15"/>
        <v>3.9421864457391247E-3</v>
      </c>
    </row>
    <row r="806" spans="1:3" ht="15.75" thickBot="1">
      <c r="A806" s="1328">
        <v>41977</v>
      </c>
      <c r="B806" s="1457">
        <v>15065</v>
      </c>
      <c r="C806" s="64">
        <f t="shared" si="15"/>
        <v>-1.2205330471156121E-2</v>
      </c>
    </row>
    <row r="807" spans="1:3" ht="15.75" thickBot="1">
      <c r="A807" s="1326">
        <v>41978</v>
      </c>
      <c r="B807" s="1458">
        <v>15065</v>
      </c>
      <c r="C807" s="64">
        <f t="shared" si="15"/>
        <v>0</v>
      </c>
    </row>
    <row r="808" spans="1:3" ht="15.75" thickBot="1">
      <c r="A808" s="1328">
        <v>41982</v>
      </c>
      <c r="B808" s="1457">
        <v>14880</v>
      </c>
      <c r="C808" s="64">
        <f t="shared" si="15"/>
        <v>-1.2356143177318752E-2</v>
      </c>
    </row>
    <row r="809" spans="1:3" ht="15.75" thickBot="1">
      <c r="A809" s="1326">
        <v>41983</v>
      </c>
      <c r="B809" s="1458">
        <v>14600</v>
      </c>
      <c r="C809" s="64">
        <f t="shared" si="15"/>
        <v>-1.8996500690655036E-2</v>
      </c>
    </row>
    <row r="810" spans="1:3" ht="15.75" thickBot="1">
      <c r="A810" s="1328">
        <v>41984</v>
      </c>
      <c r="B810" s="1457">
        <v>14281.5</v>
      </c>
      <c r="C810" s="64">
        <f t="shared" si="15"/>
        <v>-2.2056535302572094E-2</v>
      </c>
    </row>
    <row r="811" spans="1:3" ht="15.75" thickBot="1">
      <c r="A811" s="1326">
        <v>41985</v>
      </c>
      <c r="B811" s="1458">
        <v>14097</v>
      </c>
      <c r="C811" s="64">
        <f t="shared" si="15"/>
        <v>-1.3002984622930338E-2</v>
      </c>
    </row>
    <row r="812" spans="1:3" ht="15.75" thickBot="1">
      <c r="A812" s="1328">
        <v>41988</v>
      </c>
      <c r="B812" s="1457">
        <v>14097</v>
      </c>
      <c r="C812" s="64">
        <f t="shared" si="15"/>
        <v>0</v>
      </c>
    </row>
    <row r="813" spans="1:3" ht="15.75" thickBot="1">
      <c r="A813" s="1326">
        <v>41989</v>
      </c>
      <c r="B813" s="1458">
        <v>13800</v>
      </c>
      <c r="C813" s="64">
        <f t="shared" si="15"/>
        <v>-2.1293416625629374E-2</v>
      </c>
    </row>
    <row r="814" spans="1:3" ht="15.75" thickBot="1">
      <c r="A814" s="1328">
        <v>41990</v>
      </c>
      <c r="B814" s="1457">
        <v>14449</v>
      </c>
      <c r="C814" s="64">
        <f t="shared" si="15"/>
        <v>4.5956615848315147E-2</v>
      </c>
    </row>
    <row r="815" spans="1:3" ht="15.75" thickBot="1">
      <c r="A815" s="1326">
        <v>41991</v>
      </c>
      <c r="B815" s="1458">
        <v>14410</v>
      </c>
      <c r="C815" s="64">
        <f t="shared" si="15"/>
        <v>-2.7027980000434316E-3</v>
      </c>
    </row>
    <row r="816" spans="1:3" ht="15.75" thickBot="1">
      <c r="A816" s="1328">
        <v>41992</v>
      </c>
      <c r="B816" s="1457">
        <v>14780</v>
      </c>
      <c r="C816" s="64">
        <f t="shared" si="15"/>
        <v>2.5352505508624969E-2</v>
      </c>
    </row>
    <row r="817" spans="1:3" ht="15.75" thickBot="1">
      <c r="A817" s="1326">
        <v>41996</v>
      </c>
      <c r="B817" s="1458">
        <v>15420</v>
      </c>
      <c r="C817" s="64">
        <f t="shared" si="15"/>
        <v>4.2390452615127729E-2</v>
      </c>
    </row>
    <row r="818" spans="1:3" ht="15.75" thickBot="1">
      <c r="A818" s="1328">
        <v>41997</v>
      </c>
      <c r="B818" s="1457">
        <v>15460</v>
      </c>
      <c r="C818" s="64">
        <f t="shared" si="15"/>
        <v>2.5906750240924626E-3</v>
      </c>
    </row>
    <row r="819" spans="1:3" ht="15.75" thickBot="1">
      <c r="A819" s="1326">
        <v>41999</v>
      </c>
      <c r="B819" s="1458">
        <v>15427</v>
      </c>
      <c r="C819" s="64">
        <f t="shared" si="15"/>
        <v>-2.1368221294734155E-3</v>
      </c>
    </row>
    <row r="820" spans="1:3" ht="15.75" thickBot="1">
      <c r="A820" s="1328">
        <v>42002</v>
      </c>
      <c r="B820" s="1457">
        <v>15200</v>
      </c>
      <c r="C820" s="64">
        <f t="shared" si="15"/>
        <v>-1.4823793177571737E-2</v>
      </c>
    </row>
    <row r="821" spans="1:3" ht="15.75" thickBot="1">
      <c r="A821" s="1326">
        <v>42003</v>
      </c>
      <c r="B821" s="1458">
        <v>15200</v>
      </c>
      <c r="C821" s="64">
        <f t="shared" si="15"/>
        <v>0</v>
      </c>
    </row>
    <row r="822" spans="1:3" ht="15.75" thickBot="1">
      <c r="A822" s="1328">
        <v>42006</v>
      </c>
      <c r="B822" s="1457">
        <v>15200</v>
      </c>
      <c r="C822" s="64">
        <f t="shared" si="15"/>
        <v>0</v>
      </c>
    </row>
    <row r="823" spans="1:3" ht="15.75" thickBot="1">
      <c r="A823" s="1326">
        <v>42009</v>
      </c>
      <c r="B823" s="1458">
        <v>14350.5</v>
      </c>
      <c r="C823" s="64">
        <f t="shared" si="15"/>
        <v>-5.751064304803611E-2</v>
      </c>
    </row>
    <row r="824" spans="1:3" ht="15.75" thickBot="1">
      <c r="A824" s="1328">
        <v>42010</v>
      </c>
      <c r="B824" s="1457">
        <v>14358.5</v>
      </c>
      <c r="C824" s="64">
        <f t="shared" si="15"/>
        <v>5.5731653537690598E-4</v>
      </c>
    </row>
    <row r="825" spans="1:3" ht="15.75" thickBot="1">
      <c r="A825" s="1326">
        <v>42011</v>
      </c>
      <c r="B825" s="1458">
        <v>14450</v>
      </c>
      <c r="C825" s="64">
        <f t="shared" si="15"/>
        <v>6.3523132188695215E-3</v>
      </c>
    </row>
    <row r="826" spans="1:3" ht="15.75" thickBot="1">
      <c r="A826" s="1328">
        <v>42013</v>
      </c>
      <c r="B826" s="1457">
        <v>14450</v>
      </c>
      <c r="C826" s="64">
        <f t="shared" si="15"/>
        <v>0</v>
      </c>
    </row>
    <row r="827" spans="1:3" ht="15.75" thickBot="1">
      <c r="A827" s="1326">
        <v>42017</v>
      </c>
      <c r="B827" s="1458">
        <v>14420</v>
      </c>
      <c r="C827" s="64">
        <f t="shared" si="15"/>
        <v>-2.0782827016381819E-3</v>
      </c>
    </row>
    <row r="828" spans="1:3" ht="15.75" thickBot="1">
      <c r="A828" s="1328">
        <v>42018</v>
      </c>
      <c r="B828" s="1457">
        <v>14028</v>
      </c>
      <c r="C828" s="64">
        <f t="shared" si="15"/>
        <v>-2.7560799578871358E-2</v>
      </c>
    </row>
    <row r="829" spans="1:3" ht="15.75" thickBot="1">
      <c r="A829" s="1326">
        <v>42019</v>
      </c>
      <c r="B829" s="1458">
        <v>14033.5</v>
      </c>
      <c r="C829" s="64">
        <f t="shared" si="15"/>
        <v>3.9199615633003201E-4</v>
      </c>
    </row>
    <row r="830" spans="1:3" ht="15.75" thickBot="1">
      <c r="A830" s="1328">
        <v>42020</v>
      </c>
      <c r="B830" s="1457">
        <v>14000</v>
      </c>
      <c r="C830" s="64">
        <f t="shared" si="15"/>
        <v>-2.3899988190031101E-3</v>
      </c>
    </row>
    <row r="831" spans="1:3" ht="15.75" thickBot="1">
      <c r="A831" s="1326">
        <v>42023</v>
      </c>
      <c r="B831" s="1458">
        <v>13893</v>
      </c>
      <c r="C831" s="64">
        <f t="shared" si="15"/>
        <v>-7.6722134485340448E-3</v>
      </c>
    </row>
    <row r="832" spans="1:3" ht="15.75" thickBot="1">
      <c r="A832" s="1328">
        <v>42024</v>
      </c>
      <c r="B832" s="1457">
        <v>13940</v>
      </c>
      <c r="C832" s="64">
        <f t="shared" si="15"/>
        <v>3.377289165653182E-3</v>
      </c>
    </row>
    <row r="833" spans="1:3" ht="15.75" thickBot="1">
      <c r="A833" s="1326">
        <v>42025</v>
      </c>
      <c r="B833" s="1458">
        <v>14000</v>
      </c>
      <c r="C833" s="64">
        <f t="shared" si="15"/>
        <v>4.2949242828808709E-3</v>
      </c>
    </row>
    <row r="834" spans="1:3" ht="15.75" thickBot="1">
      <c r="A834" s="1328">
        <v>42026</v>
      </c>
      <c r="B834" s="1457">
        <v>14240</v>
      </c>
      <c r="C834" s="64">
        <f t="shared" si="15"/>
        <v>1.6997576368571077E-2</v>
      </c>
    </row>
    <row r="835" spans="1:3" ht="15.75" thickBot="1">
      <c r="A835" s="1326">
        <v>42027</v>
      </c>
      <c r="B835" s="1458">
        <v>14499.5</v>
      </c>
      <c r="C835" s="64">
        <f t="shared" si="15"/>
        <v>1.8059260089534405E-2</v>
      </c>
    </row>
    <row r="836" spans="1:3" ht="15.75" thickBot="1">
      <c r="A836" s="1328">
        <v>42030</v>
      </c>
      <c r="B836" s="1457">
        <v>14432</v>
      </c>
      <c r="C836" s="64">
        <f t="shared" ref="C836:C899" si="16">+LN(B836/B835)</f>
        <v>-4.6662027530962377E-3</v>
      </c>
    </row>
    <row r="837" spans="1:3" ht="15.75" thickBot="1">
      <c r="A837" s="1326">
        <v>42031</v>
      </c>
      <c r="B837" s="1458">
        <v>14290</v>
      </c>
      <c r="C837" s="64">
        <f t="shared" si="16"/>
        <v>-9.8879713784918496E-3</v>
      </c>
    </row>
    <row r="838" spans="1:3" ht="15.75" thickBot="1">
      <c r="A838" s="1328">
        <v>42032</v>
      </c>
      <c r="B838" s="1457">
        <v>14436</v>
      </c>
      <c r="C838" s="64">
        <f t="shared" si="16"/>
        <v>1.0165094838766198E-2</v>
      </c>
    </row>
    <row r="839" spans="1:3" ht="15.75" thickBot="1">
      <c r="A839" s="1326">
        <v>42033</v>
      </c>
      <c r="B839" s="1458">
        <v>14240</v>
      </c>
      <c r="C839" s="64">
        <f t="shared" si="16"/>
        <v>-1.3670180796712382E-2</v>
      </c>
    </row>
    <row r="840" spans="1:3" ht="15.75" thickBot="1">
      <c r="A840" s="1328">
        <v>42034</v>
      </c>
      <c r="B840" s="1457">
        <v>14259</v>
      </c>
      <c r="C840" s="64">
        <f t="shared" si="16"/>
        <v>1.3333803161522881E-3</v>
      </c>
    </row>
    <row r="841" spans="1:3" ht="15.75" thickBot="1">
      <c r="A841" s="1326">
        <v>42037</v>
      </c>
      <c r="B841" s="1458">
        <v>14153</v>
      </c>
      <c r="C841" s="64">
        <f t="shared" si="16"/>
        <v>-7.4616705482802685E-3</v>
      </c>
    </row>
    <row r="842" spans="1:3" ht="15.75" thickBot="1">
      <c r="A842" s="1328">
        <v>42038</v>
      </c>
      <c r="B842" s="1457">
        <v>14560</v>
      </c>
      <c r="C842" s="64">
        <f t="shared" si="16"/>
        <v>2.8351427016838054E-2</v>
      </c>
    </row>
    <row r="843" spans="1:3" ht="15.75" thickBot="1">
      <c r="A843" s="1326">
        <v>42039</v>
      </c>
      <c r="B843" s="1458">
        <v>14470.5</v>
      </c>
      <c r="C843" s="64">
        <f t="shared" si="16"/>
        <v>-6.1659484719590301E-3</v>
      </c>
    </row>
    <row r="844" spans="1:3" ht="15.75" thickBot="1">
      <c r="A844" s="1328">
        <v>42040</v>
      </c>
      <c r="B844" s="1457">
        <v>14590</v>
      </c>
      <c r="C844" s="64">
        <f t="shared" si="16"/>
        <v>8.2242682381133206E-3</v>
      </c>
    </row>
    <row r="845" spans="1:3" ht="15.75" thickBot="1">
      <c r="A845" s="1326">
        <v>42041</v>
      </c>
      <c r="B845" s="1458">
        <v>14455.5</v>
      </c>
      <c r="C845" s="64">
        <f t="shared" si="16"/>
        <v>-9.2613975573795412E-3</v>
      </c>
    </row>
    <row r="846" spans="1:3" ht="15.75" thickBot="1">
      <c r="A846" s="1328">
        <v>42044</v>
      </c>
      <c r="B846" s="1457">
        <v>14510</v>
      </c>
      <c r="C846" s="64">
        <f t="shared" si="16"/>
        <v>3.7631019187817998E-3</v>
      </c>
    </row>
    <row r="847" spans="1:3" ht="15.75" thickBot="1">
      <c r="A847" s="1326">
        <v>42045</v>
      </c>
      <c r="B847" s="1458">
        <v>14298</v>
      </c>
      <c r="C847" s="64">
        <f t="shared" si="16"/>
        <v>-1.4718399551436435E-2</v>
      </c>
    </row>
    <row r="848" spans="1:3" ht="15.75" thickBot="1">
      <c r="A848" s="1328">
        <v>42046</v>
      </c>
      <c r="B848" s="1457">
        <v>14020</v>
      </c>
      <c r="C848" s="64">
        <f t="shared" si="16"/>
        <v>-1.9634785738216039E-2</v>
      </c>
    </row>
    <row r="849" spans="1:3" ht="15.75" thickBot="1">
      <c r="A849" s="1326">
        <v>42047</v>
      </c>
      <c r="B849" s="1458">
        <v>13871</v>
      </c>
      <c r="C849" s="64">
        <f t="shared" si="16"/>
        <v>-1.0684551825290991E-2</v>
      </c>
    </row>
    <row r="850" spans="1:3" ht="15.75" thickBot="1">
      <c r="A850" s="1328">
        <v>42048</v>
      </c>
      <c r="B850" s="1457">
        <v>14000</v>
      </c>
      <c r="C850" s="64">
        <f t="shared" si="16"/>
        <v>9.2569998341054914E-3</v>
      </c>
    </row>
    <row r="851" spans="1:3" ht="15.75" thickBot="1">
      <c r="A851" s="1326">
        <v>42052</v>
      </c>
      <c r="B851" s="1458">
        <v>14100</v>
      </c>
      <c r="C851" s="64">
        <f t="shared" si="16"/>
        <v>7.1174677688639549E-3</v>
      </c>
    </row>
    <row r="852" spans="1:3" ht="15.75" thickBot="1">
      <c r="A852" s="1328">
        <v>42054</v>
      </c>
      <c r="B852" s="1457">
        <v>14100.5</v>
      </c>
      <c r="C852" s="64">
        <f t="shared" si="16"/>
        <v>3.5460364181708657E-5</v>
      </c>
    </row>
    <row r="853" spans="1:3" ht="15.75" thickBot="1">
      <c r="A853" s="1326">
        <v>42055</v>
      </c>
      <c r="B853" s="1458">
        <v>13897</v>
      </c>
      <c r="C853" s="64">
        <f t="shared" si="16"/>
        <v>-1.4537268243859296E-2</v>
      </c>
    </row>
    <row r="854" spans="1:3" ht="15.75" thickBot="1">
      <c r="A854" s="1328">
        <v>42058</v>
      </c>
      <c r="B854" s="1457">
        <v>13920</v>
      </c>
      <c r="C854" s="64">
        <f t="shared" si="16"/>
        <v>1.6536654018286191E-3</v>
      </c>
    </row>
    <row r="855" spans="1:3" ht="15.75" thickBot="1">
      <c r="A855" s="1326">
        <v>42059</v>
      </c>
      <c r="B855" s="1458">
        <v>13915</v>
      </c>
      <c r="C855" s="64">
        <f t="shared" si="16"/>
        <v>-3.5925992841953142E-4</v>
      </c>
    </row>
    <row r="856" spans="1:3" ht="15.75" thickBot="1">
      <c r="A856" s="1328">
        <v>42060</v>
      </c>
      <c r="B856" s="1457">
        <v>13803</v>
      </c>
      <c r="C856" s="64">
        <f t="shared" si="16"/>
        <v>-8.0814351364128494E-3</v>
      </c>
    </row>
    <row r="857" spans="1:3" ht="15.75" thickBot="1">
      <c r="A857" s="1326">
        <v>42061</v>
      </c>
      <c r="B857" s="1458">
        <v>13785</v>
      </c>
      <c r="C857" s="64">
        <f t="shared" si="16"/>
        <v>-1.3049153656811521E-3</v>
      </c>
    </row>
    <row r="858" spans="1:3" ht="15.75" thickBot="1">
      <c r="A858" s="1328">
        <v>42062</v>
      </c>
      <c r="B858" s="1457">
        <v>13929.5</v>
      </c>
      <c r="C858" s="64">
        <f t="shared" si="16"/>
        <v>1.0427848917271294E-2</v>
      </c>
    </row>
    <row r="859" spans="1:3" ht="15.75" thickBot="1">
      <c r="A859" s="1326">
        <v>42065</v>
      </c>
      <c r="B859" s="1458">
        <v>13753</v>
      </c>
      <c r="C859" s="64">
        <f t="shared" si="16"/>
        <v>-1.2751911260460687E-2</v>
      </c>
    </row>
    <row r="860" spans="1:3" ht="15.75" thickBot="1">
      <c r="A860" s="1328">
        <v>42066</v>
      </c>
      <c r="B860" s="1457">
        <v>13389.5</v>
      </c>
      <c r="C860" s="64">
        <f t="shared" si="16"/>
        <v>-2.678616442617043E-2</v>
      </c>
    </row>
    <row r="861" spans="1:3" ht="15.75" thickBot="1">
      <c r="A861" s="1326">
        <v>42067</v>
      </c>
      <c r="B861" s="1458">
        <v>13199.5</v>
      </c>
      <c r="C861" s="64">
        <f t="shared" si="16"/>
        <v>-1.4291867619373264E-2</v>
      </c>
    </row>
    <row r="862" spans="1:3" ht="15.75" thickBot="1">
      <c r="A862" s="1328">
        <v>42068</v>
      </c>
      <c r="B862" s="1457">
        <v>13348.5</v>
      </c>
      <c r="C862" s="64">
        <f t="shared" si="16"/>
        <v>1.1225068895862682E-2</v>
      </c>
    </row>
    <row r="863" spans="1:3" ht="15.75" thickBot="1">
      <c r="A863" s="1326">
        <v>42069</v>
      </c>
      <c r="B863" s="1458">
        <v>13080</v>
      </c>
      <c r="C863" s="64">
        <f t="shared" si="16"/>
        <v>-2.0319672953836895E-2</v>
      </c>
    </row>
    <row r="864" spans="1:3" ht="15.75" thickBot="1">
      <c r="A864" s="1328">
        <v>42073</v>
      </c>
      <c r="B864" s="1457">
        <v>13080</v>
      </c>
      <c r="C864" s="64">
        <f t="shared" si="16"/>
        <v>0</v>
      </c>
    </row>
    <row r="865" spans="1:3" ht="15.75" thickBot="1">
      <c r="A865" s="1326">
        <v>42074</v>
      </c>
      <c r="B865" s="1458">
        <v>12686</v>
      </c>
      <c r="C865" s="64">
        <f t="shared" si="16"/>
        <v>-3.0585322817347226E-2</v>
      </c>
    </row>
    <row r="866" spans="1:3" ht="15.75" thickBot="1">
      <c r="A866" s="1328">
        <v>42075</v>
      </c>
      <c r="B866" s="1457">
        <v>12789</v>
      </c>
      <c r="C866" s="64">
        <f t="shared" si="16"/>
        <v>8.0864032394775964E-3</v>
      </c>
    </row>
    <row r="867" spans="1:3" ht="15.75" thickBot="1">
      <c r="A867" s="1326">
        <v>42076</v>
      </c>
      <c r="B867" s="1458">
        <v>13012</v>
      </c>
      <c r="C867" s="64">
        <f t="shared" si="16"/>
        <v>1.7286582159922102E-2</v>
      </c>
    </row>
    <row r="868" spans="1:3" ht="15.75" thickBot="1">
      <c r="A868" s="1328">
        <v>42079</v>
      </c>
      <c r="B868" s="1457">
        <v>13020</v>
      </c>
      <c r="C868" s="64">
        <f t="shared" si="16"/>
        <v>6.1462816931813816E-4</v>
      </c>
    </row>
    <row r="869" spans="1:3" ht="15.75" thickBot="1">
      <c r="A869" s="1326">
        <v>42080</v>
      </c>
      <c r="B869" s="1458">
        <v>13045</v>
      </c>
      <c r="C869" s="64">
        <f t="shared" si="16"/>
        <v>1.9182818082686638E-3</v>
      </c>
    </row>
    <row r="870" spans="1:3" ht="15.75" thickBot="1">
      <c r="A870" s="1328">
        <v>42081</v>
      </c>
      <c r="B870" s="1457">
        <v>13219</v>
      </c>
      <c r="C870" s="64">
        <f t="shared" si="16"/>
        <v>1.3250270008570961E-2</v>
      </c>
    </row>
    <row r="871" spans="1:3" ht="15.75" thickBot="1">
      <c r="A871" s="1326">
        <v>42082</v>
      </c>
      <c r="B871" s="1458">
        <v>13190</v>
      </c>
      <c r="C871" s="64">
        <f t="shared" si="16"/>
        <v>-2.1962218680393998E-3</v>
      </c>
    </row>
    <row r="872" spans="1:3" ht="15.75" thickBot="1">
      <c r="A872" s="1328">
        <v>42083</v>
      </c>
      <c r="B872" s="1457">
        <v>13240</v>
      </c>
      <c r="C872" s="64">
        <f t="shared" si="16"/>
        <v>3.7835837796388913E-3</v>
      </c>
    </row>
    <row r="873" spans="1:3" ht="15.75" thickBot="1">
      <c r="A873" s="1326">
        <v>42087</v>
      </c>
      <c r="B873" s="1458">
        <v>13000</v>
      </c>
      <c r="C873" s="64">
        <f t="shared" si="16"/>
        <v>-1.8293193047325376E-2</v>
      </c>
    </row>
    <row r="874" spans="1:3" ht="15.75" thickBot="1">
      <c r="A874" s="1328">
        <v>42088</v>
      </c>
      <c r="B874" s="1457">
        <v>13182</v>
      </c>
      <c r="C874" s="64">
        <f t="shared" si="16"/>
        <v>1.3902905168991434E-2</v>
      </c>
    </row>
    <row r="875" spans="1:3" ht="15.75" thickBot="1">
      <c r="A875" s="1326">
        <v>42089</v>
      </c>
      <c r="B875" s="1458">
        <v>13200</v>
      </c>
      <c r="C875" s="64">
        <f t="shared" si="16"/>
        <v>1.3645669617969522E-3</v>
      </c>
    </row>
    <row r="876" spans="1:3" ht="15.75" thickBot="1">
      <c r="A876" s="1328">
        <v>42090</v>
      </c>
      <c r="B876" s="1457">
        <v>13132.5</v>
      </c>
      <c r="C876" s="64">
        <f t="shared" si="16"/>
        <v>-5.126755746345627E-3</v>
      </c>
    </row>
    <row r="877" spans="1:3" ht="15.75" thickBot="1">
      <c r="A877" s="1326">
        <v>42094</v>
      </c>
      <c r="B877" s="1458">
        <v>13209.5</v>
      </c>
      <c r="C877" s="64">
        <f t="shared" si="16"/>
        <v>5.8461938583705044E-3</v>
      </c>
    </row>
    <row r="878" spans="1:3" ht="15.75" thickBot="1">
      <c r="A878" s="1328">
        <v>42095</v>
      </c>
      <c r="B878" s="1457">
        <v>13400</v>
      </c>
      <c r="C878" s="64">
        <f t="shared" si="16"/>
        <v>1.4318439252515788E-2</v>
      </c>
    </row>
    <row r="879" spans="1:3" ht="15.75" thickBot="1">
      <c r="A879" s="1326">
        <v>42100</v>
      </c>
      <c r="B879" s="1458">
        <v>13600</v>
      </c>
      <c r="C879" s="64">
        <f t="shared" si="16"/>
        <v>1.4815085785140682E-2</v>
      </c>
    </row>
    <row r="880" spans="1:3" ht="15.75" thickBot="1">
      <c r="A880" s="1328">
        <v>42101</v>
      </c>
      <c r="B880" s="1457">
        <v>13783</v>
      </c>
      <c r="C880" s="64">
        <f t="shared" si="16"/>
        <v>1.3366155970295444E-2</v>
      </c>
    </row>
    <row r="881" spans="1:3" ht="15.75" thickBot="1">
      <c r="A881" s="1326">
        <v>42102</v>
      </c>
      <c r="B881" s="1458">
        <v>13649</v>
      </c>
      <c r="C881" s="64">
        <f t="shared" si="16"/>
        <v>-9.7696898382433391E-3</v>
      </c>
    </row>
    <row r="882" spans="1:3" ht="15.75" thickBot="1">
      <c r="A882" s="1328">
        <v>42103</v>
      </c>
      <c r="B882" s="1457">
        <v>13717</v>
      </c>
      <c r="C882" s="64">
        <f t="shared" si="16"/>
        <v>4.9696806222115173E-3</v>
      </c>
    </row>
    <row r="883" spans="1:3" ht="15.75" thickBot="1">
      <c r="A883" s="1326">
        <v>42104</v>
      </c>
      <c r="B883" s="1458">
        <v>13710</v>
      </c>
      <c r="C883" s="64">
        <f t="shared" si="16"/>
        <v>-5.1044592204697186E-4</v>
      </c>
    </row>
    <row r="884" spans="1:3" ht="15.75" thickBot="1">
      <c r="A884" s="1328">
        <v>42107</v>
      </c>
      <c r="B884" s="1457">
        <v>13786.5</v>
      </c>
      <c r="C884" s="64">
        <f t="shared" si="16"/>
        <v>5.5643589099138926E-3</v>
      </c>
    </row>
    <row r="885" spans="1:3" ht="15.75" thickBot="1">
      <c r="A885" s="1326">
        <v>42108</v>
      </c>
      <c r="B885" s="1458">
        <v>13800</v>
      </c>
      <c r="C885" s="64">
        <f t="shared" si="16"/>
        <v>9.7873967902214272E-4</v>
      </c>
    </row>
    <row r="886" spans="1:3" ht="15.75" thickBot="1">
      <c r="A886" s="1328">
        <v>42109</v>
      </c>
      <c r="B886" s="1457">
        <v>13880</v>
      </c>
      <c r="C886" s="64">
        <f t="shared" si="16"/>
        <v>5.780362915499329E-3</v>
      </c>
    </row>
    <row r="887" spans="1:3" ht="15.75" thickBot="1">
      <c r="A887" s="1326">
        <v>42110</v>
      </c>
      <c r="B887" s="1458">
        <v>13884</v>
      </c>
      <c r="C887" s="64">
        <f t="shared" si="16"/>
        <v>2.8814292088128347E-4</v>
      </c>
    </row>
    <row r="888" spans="1:3" ht="15.75" thickBot="1">
      <c r="A888" s="1328">
        <v>42114</v>
      </c>
      <c r="B888" s="1457">
        <v>13670</v>
      </c>
      <c r="C888" s="64">
        <f t="shared" si="16"/>
        <v>-1.5533447263681626E-2</v>
      </c>
    </row>
    <row r="889" spans="1:3" ht="15.75" thickBot="1">
      <c r="A889" s="1326">
        <v>42115</v>
      </c>
      <c r="B889" s="1458">
        <v>13465.5</v>
      </c>
      <c r="C889" s="64">
        <f t="shared" si="16"/>
        <v>-1.5072791853142357E-2</v>
      </c>
    </row>
    <row r="890" spans="1:3" ht="15.75" thickBot="1">
      <c r="A890" s="1328">
        <v>42116</v>
      </c>
      <c r="B890" s="1457">
        <v>13700</v>
      </c>
      <c r="C890" s="64">
        <f t="shared" si="16"/>
        <v>1.7264973951363363E-2</v>
      </c>
    </row>
    <row r="891" spans="1:3" ht="15.75" thickBot="1">
      <c r="A891" s="1326">
        <v>42117</v>
      </c>
      <c r="B891" s="1458">
        <v>13821</v>
      </c>
      <c r="C891" s="64">
        <f t="shared" si="16"/>
        <v>8.7933417878104068E-3</v>
      </c>
    </row>
    <row r="892" spans="1:3" ht="15.75" thickBot="1">
      <c r="A892" s="1328">
        <v>42118</v>
      </c>
      <c r="B892" s="1457">
        <v>13951</v>
      </c>
      <c r="C892" s="64">
        <f t="shared" si="16"/>
        <v>9.3620156640812913E-3</v>
      </c>
    </row>
    <row r="893" spans="1:3" ht="15.75" thickBot="1">
      <c r="A893" s="1326">
        <v>42121</v>
      </c>
      <c r="B893" s="1458">
        <v>14186</v>
      </c>
      <c r="C893" s="64">
        <f t="shared" si="16"/>
        <v>1.6704372493923991E-2</v>
      </c>
    </row>
    <row r="894" spans="1:3" ht="15.75" thickBot="1">
      <c r="A894" s="1328">
        <v>42122</v>
      </c>
      <c r="B894" s="1457">
        <v>14260</v>
      </c>
      <c r="C894" s="64">
        <f t="shared" si="16"/>
        <v>5.2028522062548092E-3</v>
      </c>
    </row>
    <row r="895" spans="1:3" ht="15.75" thickBot="1">
      <c r="A895" s="1326">
        <v>42123</v>
      </c>
      <c r="B895" s="1458">
        <v>14373.5</v>
      </c>
      <c r="C895" s="64">
        <f t="shared" si="16"/>
        <v>7.9278184265641014E-3</v>
      </c>
    </row>
    <row r="896" spans="1:3" ht="15.75" thickBot="1">
      <c r="A896" s="1328">
        <v>42124</v>
      </c>
      <c r="B896" s="1457">
        <v>14280</v>
      </c>
      <c r="C896" s="64">
        <f t="shared" si="16"/>
        <v>-6.5262765012756409E-3</v>
      </c>
    </row>
    <row r="897" spans="1:3" ht="15.75" thickBot="1">
      <c r="A897" s="1326">
        <v>42128</v>
      </c>
      <c r="B897" s="1458">
        <v>14209</v>
      </c>
      <c r="C897" s="64">
        <f t="shared" si="16"/>
        <v>-4.9843902555000656E-3</v>
      </c>
    </row>
    <row r="898" spans="1:3" ht="15.75" thickBot="1">
      <c r="A898" s="1328">
        <v>42129</v>
      </c>
      <c r="B898" s="1457">
        <v>14290</v>
      </c>
      <c r="C898" s="64">
        <f t="shared" si="16"/>
        <v>5.6844252858378784E-3</v>
      </c>
    </row>
    <row r="899" spans="1:3" ht="15.75" thickBot="1">
      <c r="A899" s="1326">
        <v>42130</v>
      </c>
      <c r="B899" s="1458">
        <v>14270</v>
      </c>
      <c r="C899" s="64">
        <f t="shared" si="16"/>
        <v>-1.4005604530309746E-3</v>
      </c>
    </row>
    <row r="900" spans="1:3" ht="15.75" thickBot="1">
      <c r="A900" s="1328">
        <v>42131</v>
      </c>
      <c r="B900" s="1457">
        <v>14015</v>
      </c>
      <c r="C900" s="64">
        <f t="shared" ref="C900:C963" si="17">+LN(B900/B899)</f>
        <v>-1.8031246871993391E-2</v>
      </c>
    </row>
    <row r="901" spans="1:3" ht="15.75" thickBot="1">
      <c r="A901" s="1326">
        <v>42132</v>
      </c>
      <c r="B901" s="1458">
        <v>13892.5</v>
      </c>
      <c r="C901" s="64">
        <f t="shared" si="17"/>
        <v>-8.7790584448122957E-3</v>
      </c>
    </row>
    <row r="902" spans="1:3" ht="15.75" thickBot="1">
      <c r="A902" s="1328">
        <v>42135</v>
      </c>
      <c r="B902" s="1457">
        <v>13866</v>
      </c>
      <c r="C902" s="64">
        <f t="shared" si="17"/>
        <v>-1.9093256516405557E-3</v>
      </c>
    </row>
    <row r="903" spans="1:3" ht="15.75" thickBot="1">
      <c r="A903" s="1326">
        <v>42136</v>
      </c>
      <c r="B903" s="1458">
        <v>13866</v>
      </c>
      <c r="C903" s="64">
        <f t="shared" si="17"/>
        <v>0</v>
      </c>
    </row>
    <row r="904" spans="1:3" ht="15.75" thickBot="1">
      <c r="A904" s="1328">
        <v>42137</v>
      </c>
      <c r="B904" s="1457">
        <v>13802</v>
      </c>
      <c r="C904" s="64">
        <f t="shared" si="17"/>
        <v>-4.6262913218885586E-3</v>
      </c>
    </row>
    <row r="905" spans="1:3" ht="15.75" thickBot="1">
      <c r="A905" s="1326">
        <v>42138</v>
      </c>
      <c r="B905" s="1458">
        <v>13799</v>
      </c>
      <c r="C905" s="64">
        <f t="shared" si="17"/>
        <v>-2.1738342899273934E-4</v>
      </c>
    </row>
    <row r="906" spans="1:3" ht="15.75" thickBot="1">
      <c r="A906" s="1328">
        <v>42139</v>
      </c>
      <c r="B906" s="1457">
        <v>13800</v>
      </c>
      <c r="C906" s="64">
        <f t="shared" si="17"/>
        <v>7.2466393741666625E-5</v>
      </c>
    </row>
    <row r="907" spans="1:3" ht="15.75" thickBot="1">
      <c r="A907" s="1326">
        <v>42143</v>
      </c>
      <c r="B907" s="1458">
        <v>13852</v>
      </c>
      <c r="C907" s="64">
        <f t="shared" si="17"/>
        <v>3.761034377016617E-3</v>
      </c>
    </row>
    <row r="908" spans="1:3" ht="15.75" thickBot="1">
      <c r="A908" s="1328">
        <v>42144</v>
      </c>
      <c r="B908" s="1457">
        <v>13894</v>
      </c>
      <c r="C908" s="64">
        <f t="shared" si="17"/>
        <v>3.0274657305136726E-3</v>
      </c>
    </row>
    <row r="909" spans="1:3" ht="15.75" thickBot="1">
      <c r="A909" s="1326">
        <v>42145</v>
      </c>
      <c r="B909" s="1458">
        <v>13810</v>
      </c>
      <c r="C909" s="64">
        <f t="shared" si="17"/>
        <v>-6.06412484948839E-3</v>
      </c>
    </row>
    <row r="910" spans="1:3" ht="15.75" thickBot="1">
      <c r="A910" s="1328">
        <v>42146</v>
      </c>
      <c r="B910" s="1457">
        <v>13724</v>
      </c>
      <c r="C910" s="64">
        <f t="shared" si="17"/>
        <v>-6.2468424249974945E-3</v>
      </c>
    </row>
    <row r="911" spans="1:3" ht="15.75" thickBot="1">
      <c r="A911" s="1326">
        <v>42149</v>
      </c>
      <c r="B911" s="1458">
        <v>13630</v>
      </c>
      <c r="C911" s="64">
        <f t="shared" si="17"/>
        <v>-6.8728792877620643E-3</v>
      </c>
    </row>
    <row r="912" spans="1:3" ht="15.75" thickBot="1">
      <c r="A912" s="1328">
        <v>42150</v>
      </c>
      <c r="B912" s="1457">
        <v>13600</v>
      </c>
      <c r="C912" s="64">
        <f t="shared" si="17"/>
        <v>-2.2034529664349094E-3</v>
      </c>
    </row>
    <row r="913" spans="1:3" ht="15.75" thickBot="1">
      <c r="A913" s="1326">
        <v>42151</v>
      </c>
      <c r="B913" s="1458">
        <v>13300</v>
      </c>
      <c r="C913" s="64">
        <f t="shared" si="17"/>
        <v>-2.2305757514298277E-2</v>
      </c>
    </row>
    <row r="914" spans="1:3" ht="15.75" thickBot="1">
      <c r="A914" s="1328">
        <v>42152</v>
      </c>
      <c r="B914" s="1457">
        <v>13230</v>
      </c>
      <c r="C914" s="64">
        <f t="shared" si="17"/>
        <v>-5.2770571008437812E-3</v>
      </c>
    </row>
    <row r="915" spans="1:3" ht="15.75" thickBot="1">
      <c r="A915" s="1326">
        <v>42153</v>
      </c>
      <c r="B915" s="1458">
        <v>13308</v>
      </c>
      <c r="C915" s="64">
        <f t="shared" si="17"/>
        <v>5.8783800293659245E-3</v>
      </c>
    </row>
    <row r="916" spans="1:3" ht="15.75" thickBot="1">
      <c r="A916" s="1328">
        <v>42156</v>
      </c>
      <c r="B916" s="1457">
        <v>13308</v>
      </c>
      <c r="C916" s="64">
        <f t="shared" si="17"/>
        <v>0</v>
      </c>
    </row>
    <row r="917" spans="1:3" ht="15.75" thickBot="1">
      <c r="A917" s="1326">
        <v>42157</v>
      </c>
      <c r="B917" s="1458">
        <v>13318</v>
      </c>
      <c r="C917" s="64">
        <f t="shared" si="17"/>
        <v>7.5114553220041725E-4</v>
      </c>
    </row>
    <row r="918" spans="1:3" ht="15.75" thickBot="1">
      <c r="A918" s="1328">
        <v>42158</v>
      </c>
      <c r="B918" s="1457">
        <v>13311</v>
      </c>
      <c r="C918" s="64">
        <f t="shared" si="17"/>
        <v>-5.2574262354846476E-4</v>
      </c>
    </row>
    <row r="919" spans="1:3" ht="15.75" thickBot="1">
      <c r="A919" s="1326">
        <v>42159</v>
      </c>
      <c r="B919" s="1458">
        <v>13263</v>
      </c>
      <c r="C919" s="64">
        <f t="shared" si="17"/>
        <v>-3.6125575526663222E-3</v>
      </c>
    </row>
    <row r="920" spans="1:3" ht="15.75" thickBot="1">
      <c r="A920" s="1328">
        <v>42160</v>
      </c>
      <c r="B920" s="1457">
        <v>13330</v>
      </c>
      <c r="C920" s="64">
        <f t="shared" si="17"/>
        <v>5.0389306784014831E-3</v>
      </c>
    </row>
    <row r="921" spans="1:3" ht="15.75" thickBot="1">
      <c r="A921" s="1326">
        <v>42164</v>
      </c>
      <c r="B921" s="1458">
        <v>13385</v>
      </c>
      <c r="C921" s="64">
        <f t="shared" si="17"/>
        <v>4.1175427816986078E-3</v>
      </c>
    </row>
    <row r="922" spans="1:3" ht="15.75" thickBot="1">
      <c r="A922" s="1328">
        <v>42165</v>
      </c>
      <c r="B922" s="1457">
        <v>13451</v>
      </c>
      <c r="C922" s="64">
        <f t="shared" si="17"/>
        <v>4.91877575412862E-3</v>
      </c>
    </row>
    <row r="923" spans="1:3" ht="15.75" thickBot="1">
      <c r="A923" s="1326">
        <v>42166</v>
      </c>
      <c r="B923" s="1458">
        <v>13510</v>
      </c>
      <c r="C923" s="64">
        <f t="shared" si="17"/>
        <v>4.3766992456629756E-3</v>
      </c>
    </row>
    <row r="924" spans="1:3" ht="15.75" thickBot="1">
      <c r="A924" s="1328">
        <v>42167</v>
      </c>
      <c r="B924" s="1457">
        <v>13471.5</v>
      </c>
      <c r="C924" s="64">
        <f t="shared" si="17"/>
        <v>-2.8538091751303916E-3</v>
      </c>
    </row>
    <row r="925" spans="1:3" ht="15.75" thickBot="1">
      <c r="A925" s="1326">
        <v>42172</v>
      </c>
      <c r="B925" s="1458">
        <v>13420</v>
      </c>
      <c r="C925" s="64">
        <f t="shared" si="17"/>
        <v>-3.8302112534413144E-3</v>
      </c>
    </row>
    <row r="926" spans="1:3" ht="15.75" thickBot="1">
      <c r="A926" s="1328">
        <v>42173</v>
      </c>
      <c r="B926" s="1457">
        <v>13556</v>
      </c>
      <c r="C926" s="64">
        <f t="shared" si="17"/>
        <v>1.0083122201269064E-2</v>
      </c>
    </row>
    <row r="927" spans="1:3" ht="15.75" thickBot="1">
      <c r="A927" s="1326">
        <v>42177</v>
      </c>
      <c r="B927" s="1458">
        <v>13450</v>
      </c>
      <c r="C927" s="64">
        <f t="shared" si="17"/>
        <v>-7.8501476969567632E-3</v>
      </c>
    </row>
    <row r="928" spans="1:3" ht="15.75" thickBot="1">
      <c r="A928" s="1328">
        <v>42178</v>
      </c>
      <c r="B928" s="1457">
        <v>13600</v>
      </c>
      <c r="C928" s="64">
        <f t="shared" si="17"/>
        <v>1.1090686694158138E-2</v>
      </c>
    </row>
    <row r="929" spans="1:3" ht="15.75" thickBot="1">
      <c r="A929" s="1326">
        <v>42179</v>
      </c>
      <c r="B929" s="1458">
        <v>13620</v>
      </c>
      <c r="C929" s="64">
        <f t="shared" si="17"/>
        <v>1.469507979359978E-3</v>
      </c>
    </row>
    <row r="930" spans="1:3" ht="15.75" thickBot="1">
      <c r="A930" s="1328">
        <v>42180</v>
      </c>
      <c r="B930" s="1457">
        <v>13547</v>
      </c>
      <c r="C930" s="64">
        <f t="shared" si="17"/>
        <v>-5.3741801227669712E-3</v>
      </c>
    </row>
    <row r="931" spans="1:3" ht="15.75" thickBot="1">
      <c r="A931" s="1326">
        <v>42181</v>
      </c>
      <c r="B931" s="1458">
        <v>13470</v>
      </c>
      <c r="C931" s="64">
        <f t="shared" si="17"/>
        <v>-5.700130176326753E-3</v>
      </c>
    </row>
    <row r="932" spans="1:3" ht="15.75" thickBot="1">
      <c r="A932" s="1328">
        <v>42191</v>
      </c>
      <c r="B932" s="1457">
        <v>13242</v>
      </c>
      <c r="C932" s="64">
        <f t="shared" si="17"/>
        <v>-1.7071393919618323E-2</v>
      </c>
    </row>
    <row r="933" spans="1:3" ht="15.75" thickBot="1">
      <c r="A933" s="1326">
        <v>42192</v>
      </c>
      <c r="B933" s="1458">
        <v>13100</v>
      </c>
      <c r="C933" s="64">
        <f t="shared" si="17"/>
        <v>-1.078136629554844E-2</v>
      </c>
    </row>
    <row r="934" spans="1:3" ht="15.75" thickBot="1">
      <c r="A934" s="1328">
        <v>42193</v>
      </c>
      <c r="B934" s="1457">
        <v>13100</v>
      </c>
      <c r="C934" s="64">
        <f t="shared" si="17"/>
        <v>0</v>
      </c>
    </row>
    <row r="935" spans="1:3" ht="15.75" thickBot="1">
      <c r="A935" s="1326">
        <v>42194</v>
      </c>
      <c r="B935" s="1458">
        <v>13221</v>
      </c>
      <c r="C935" s="64">
        <f t="shared" si="17"/>
        <v>9.1942443208537505E-3</v>
      </c>
    </row>
    <row r="936" spans="1:3" ht="15.75" thickBot="1">
      <c r="A936" s="1328">
        <v>42195</v>
      </c>
      <c r="B936" s="1457">
        <v>13245</v>
      </c>
      <c r="C936" s="64">
        <f t="shared" si="17"/>
        <v>1.8136481960734348E-3</v>
      </c>
    </row>
    <row r="937" spans="1:3" ht="15.75" thickBot="1">
      <c r="A937" s="1326">
        <v>42198</v>
      </c>
      <c r="B937" s="1458">
        <v>13350</v>
      </c>
      <c r="C937" s="64">
        <f t="shared" si="17"/>
        <v>7.8962621222255398E-3</v>
      </c>
    </row>
    <row r="938" spans="1:3" ht="15.75" thickBot="1">
      <c r="A938" s="1328">
        <v>42199</v>
      </c>
      <c r="B938" s="1457">
        <v>13410</v>
      </c>
      <c r="C938" s="64">
        <f t="shared" si="17"/>
        <v>4.4843124473285863E-3</v>
      </c>
    </row>
    <row r="939" spans="1:3" ht="15.75" thickBot="1">
      <c r="A939" s="1326">
        <v>42200</v>
      </c>
      <c r="B939" s="1458">
        <v>13456</v>
      </c>
      <c r="C939" s="64">
        <f t="shared" si="17"/>
        <v>3.4244059370051212E-3</v>
      </c>
    </row>
    <row r="940" spans="1:3" ht="15.75" thickBot="1">
      <c r="A940" s="1328">
        <v>42201</v>
      </c>
      <c r="B940" s="1457">
        <v>13434</v>
      </c>
      <c r="C940" s="64">
        <f t="shared" si="17"/>
        <v>-1.6362963859194645E-3</v>
      </c>
    </row>
    <row r="941" spans="1:3" ht="15.75" thickBot="1">
      <c r="A941" s="1326">
        <v>42202</v>
      </c>
      <c r="B941" s="1458">
        <v>13393</v>
      </c>
      <c r="C941" s="64">
        <f t="shared" si="17"/>
        <v>-3.0566244396876565E-3</v>
      </c>
    </row>
    <row r="942" spans="1:3" ht="15.75" thickBot="1">
      <c r="A942" s="1328">
        <v>42206</v>
      </c>
      <c r="B942" s="1457">
        <v>13150</v>
      </c>
      <c r="C942" s="64">
        <f t="shared" si="17"/>
        <v>-1.831042378121155E-2</v>
      </c>
    </row>
    <row r="943" spans="1:3" ht="15.75" thickBot="1">
      <c r="A943" s="1326">
        <v>42207</v>
      </c>
      <c r="B943" s="1458">
        <v>13200</v>
      </c>
      <c r="C943" s="64">
        <f t="shared" si="17"/>
        <v>3.7950709685515343E-3</v>
      </c>
    </row>
    <row r="944" spans="1:3" ht="15.75" thickBot="1">
      <c r="A944" s="1328">
        <v>42208</v>
      </c>
      <c r="B944" s="1457">
        <v>13281</v>
      </c>
      <c r="C944" s="64">
        <f t="shared" si="17"/>
        <v>6.1176128257884651E-3</v>
      </c>
    </row>
    <row r="945" spans="1:3" ht="15.75" thickBot="1">
      <c r="A945" s="1326">
        <v>42209</v>
      </c>
      <c r="B945" s="1458">
        <v>13205</v>
      </c>
      <c r="C945" s="64">
        <f t="shared" si="17"/>
        <v>-5.7388966690181667E-3</v>
      </c>
    </row>
    <row r="946" spans="1:3" ht="15.75" thickBot="1">
      <c r="A946" s="1328">
        <v>42212</v>
      </c>
      <c r="B946" s="1457">
        <v>13150</v>
      </c>
      <c r="C946" s="64">
        <f t="shared" si="17"/>
        <v>-4.1737871253219681E-3</v>
      </c>
    </row>
    <row r="947" spans="1:3" ht="15.75" thickBot="1">
      <c r="A947" s="1326">
        <v>42213</v>
      </c>
      <c r="B947" s="1458">
        <v>13200</v>
      </c>
      <c r="C947" s="64">
        <f t="shared" si="17"/>
        <v>3.7950709685515343E-3</v>
      </c>
    </row>
    <row r="948" spans="1:3" ht="15.75" thickBot="1">
      <c r="A948" s="1328">
        <v>42214</v>
      </c>
      <c r="B948" s="1457">
        <v>13320</v>
      </c>
      <c r="C948" s="64">
        <f t="shared" si="17"/>
        <v>9.0498355199178562E-3</v>
      </c>
    </row>
    <row r="949" spans="1:3" ht="15.75" thickBot="1">
      <c r="A949" s="1326">
        <v>42215</v>
      </c>
      <c r="B949" s="1458">
        <v>13400</v>
      </c>
      <c r="C949" s="64">
        <f t="shared" si="17"/>
        <v>5.9880418446226933E-3</v>
      </c>
    </row>
    <row r="950" spans="1:3" ht="15.75" thickBot="1">
      <c r="A950" s="1328">
        <v>42216</v>
      </c>
      <c r="B950" s="1457">
        <v>13400</v>
      </c>
      <c r="C950" s="64">
        <f t="shared" si="17"/>
        <v>0</v>
      </c>
    </row>
    <row r="951" spans="1:3" ht="15.75" thickBot="1">
      <c r="A951" s="1326">
        <v>42220</v>
      </c>
      <c r="B951" s="1458">
        <v>13400</v>
      </c>
      <c r="C951" s="64">
        <f t="shared" si="17"/>
        <v>0</v>
      </c>
    </row>
    <row r="952" spans="1:3" ht="15.75" thickBot="1">
      <c r="A952" s="1328">
        <v>42221</v>
      </c>
      <c r="B952" s="1457">
        <v>12939.5</v>
      </c>
      <c r="C952" s="64">
        <f t="shared" si="17"/>
        <v>-3.4970058507002834E-2</v>
      </c>
    </row>
    <row r="953" spans="1:3" ht="15.75" thickBot="1">
      <c r="A953" s="1326">
        <v>42222</v>
      </c>
      <c r="B953" s="1458">
        <v>13040</v>
      </c>
      <c r="C953" s="64">
        <f t="shared" si="17"/>
        <v>7.7369080486440556E-3</v>
      </c>
    </row>
    <row r="954" spans="1:3" ht="15.75" thickBot="1">
      <c r="A954" s="1328">
        <v>42226</v>
      </c>
      <c r="B954" s="1457">
        <v>12990</v>
      </c>
      <c r="C954" s="64">
        <f t="shared" si="17"/>
        <v>-3.8417258159987575E-3</v>
      </c>
    </row>
    <row r="955" spans="1:3" ht="15.75" thickBot="1">
      <c r="A955" s="1326">
        <v>42227</v>
      </c>
      <c r="B955" s="1458">
        <v>12990</v>
      </c>
      <c r="C955" s="64">
        <f t="shared" si="17"/>
        <v>0</v>
      </c>
    </row>
    <row r="956" spans="1:3" ht="15.75" thickBot="1">
      <c r="A956" s="1328">
        <v>42228</v>
      </c>
      <c r="B956" s="1457">
        <v>12877</v>
      </c>
      <c r="C956" s="64">
        <f t="shared" si="17"/>
        <v>-8.7370563908613641E-3</v>
      </c>
    </row>
    <row r="957" spans="1:3" ht="15.75" thickBot="1">
      <c r="A957" s="1326">
        <v>42229</v>
      </c>
      <c r="B957" s="1458">
        <v>12950.5</v>
      </c>
      <c r="C957" s="64">
        <f t="shared" si="17"/>
        <v>5.6916231471616976E-3</v>
      </c>
    </row>
    <row r="958" spans="1:3" ht="15.75" thickBot="1">
      <c r="A958" s="1328">
        <v>42230</v>
      </c>
      <c r="B958" s="1457">
        <v>12860</v>
      </c>
      <c r="C958" s="64">
        <f t="shared" si="17"/>
        <v>-7.0126786293350559E-3</v>
      </c>
    </row>
    <row r="959" spans="1:3" ht="15.75" thickBot="1">
      <c r="A959" s="1326">
        <v>42234</v>
      </c>
      <c r="B959" s="1458">
        <v>12651</v>
      </c>
      <c r="C959" s="64">
        <f t="shared" si="17"/>
        <v>-1.6385455376940826E-2</v>
      </c>
    </row>
    <row r="960" spans="1:3" ht="15.75" thickBot="1">
      <c r="A960" s="1328">
        <v>42236</v>
      </c>
      <c r="B960" s="1457">
        <v>12463</v>
      </c>
      <c r="C960" s="64">
        <f t="shared" si="17"/>
        <v>-1.4972008588292665E-2</v>
      </c>
    </row>
    <row r="961" spans="1:3" ht="15.75" thickBot="1">
      <c r="A961" s="1326">
        <v>42237</v>
      </c>
      <c r="B961" s="1458">
        <v>12212</v>
      </c>
      <c r="C961" s="64">
        <f t="shared" si="17"/>
        <v>-2.0345179971608399E-2</v>
      </c>
    </row>
    <row r="962" spans="1:3" ht="15.75" thickBot="1">
      <c r="A962" s="1328">
        <v>42240</v>
      </c>
      <c r="B962" s="1457">
        <v>12212</v>
      </c>
      <c r="C962" s="64">
        <f t="shared" si="17"/>
        <v>0</v>
      </c>
    </row>
    <row r="963" spans="1:3" ht="15.75" thickBot="1">
      <c r="A963" s="1326">
        <v>42241</v>
      </c>
      <c r="B963" s="1458">
        <v>11702</v>
      </c>
      <c r="C963" s="64">
        <f t="shared" si="17"/>
        <v>-4.2659307506587051E-2</v>
      </c>
    </row>
    <row r="964" spans="1:3" ht="15.75" thickBot="1">
      <c r="A964" s="1328">
        <v>42242</v>
      </c>
      <c r="B964" s="1457">
        <v>11552</v>
      </c>
      <c r="C964" s="64">
        <f t="shared" ref="C964:C1027" si="18">+LN(B964/B963)</f>
        <v>-1.2901185215573993E-2</v>
      </c>
    </row>
    <row r="965" spans="1:3" ht="15.75" thickBot="1">
      <c r="A965" s="1326">
        <v>42243</v>
      </c>
      <c r="B965" s="1458">
        <v>12069</v>
      </c>
      <c r="C965" s="64">
        <f t="shared" si="18"/>
        <v>4.3781599485290451E-2</v>
      </c>
    </row>
    <row r="966" spans="1:3" ht="15.75" thickBot="1">
      <c r="A966" s="1328">
        <v>42244</v>
      </c>
      <c r="B966" s="1457">
        <v>12269</v>
      </c>
      <c r="C966" s="64">
        <f t="shared" si="18"/>
        <v>1.643557417328495E-2</v>
      </c>
    </row>
    <row r="967" spans="1:3" ht="15.75" thickBot="1">
      <c r="A967" s="1326">
        <v>42247</v>
      </c>
      <c r="B967" s="1458">
        <v>12357</v>
      </c>
      <c r="C967" s="64">
        <f t="shared" si="18"/>
        <v>7.146948313007679E-3</v>
      </c>
    </row>
    <row r="968" spans="1:3" ht="15.75" thickBot="1">
      <c r="A968" s="1328">
        <v>42248</v>
      </c>
      <c r="B968" s="1457">
        <v>12260</v>
      </c>
      <c r="C968" s="64">
        <f t="shared" si="18"/>
        <v>-7.8807736139880451E-3</v>
      </c>
    </row>
    <row r="969" spans="1:3" ht="15.75" thickBot="1">
      <c r="A969" s="1326">
        <v>42249</v>
      </c>
      <c r="B969" s="1458">
        <v>12310</v>
      </c>
      <c r="C969" s="64">
        <f t="shared" si="18"/>
        <v>4.0700096882968998E-3</v>
      </c>
    </row>
    <row r="970" spans="1:3" ht="15.75" thickBot="1">
      <c r="A970" s="1328">
        <v>42250</v>
      </c>
      <c r="B970" s="1457">
        <v>12452</v>
      </c>
      <c r="C970" s="64">
        <f t="shared" si="18"/>
        <v>1.1469312382999622E-2</v>
      </c>
    </row>
    <row r="971" spans="1:3" ht="15.75" thickBot="1">
      <c r="A971" s="1326">
        <v>42251</v>
      </c>
      <c r="B971" s="1458">
        <v>12420</v>
      </c>
      <c r="C971" s="64">
        <f t="shared" si="18"/>
        <v>-2.5731760740289869E-3</v>
      </c>
    </row>
    <row r="972" spans="1:3" ht="15.75" thickBot="1">
      <c r="A972" s="1328">
        <v>42255</v>
      </c>
      <c r="B972" s="1457">
        <v>12575</v>
      </c>
      <c r="C972" s="64">
        <f t="shared" si="18"/>
        <v>1.2402639480470252E-2</v>
      </c>
    </row>
    <row r="973" spans="1:3" ht="15.75" thickBot="1">
      <c r="A973" s="1326">
        <v>42256</v>
      </c>
      <c r="B973" s="1458">
        <v>12560</v>
      </c>
      <c r="C973" s="64">
        <f t="shared" si="18"/>
        <v>-1.1935549457502566E-3</v>
      </c>
    </row>
    <row r="974" spans="1:3" ht="15.75" thickBot="1">
      <c r="A974" s="1328">
        <v>42257</v>
      </c>
      <c r="B974" s="1457">
        <v>12554.5</v>
      </c>
      <c r="C974" s="64">
        <f t="shared" si="18"/>
        <v>-4.3799399453906321E-4</v>
      </c>
    </row>
    <row r="975" spans="1:3" ht="15.75" thickBot="1">
      <c r="A975" s="1326">
        <v>42258</v>
      </c>
      <c r="B975" s="1458">
        <v>12530</v>
      </c>
      <c r="C975" s="64">
        <f t="shared" si="18"/>
        <v>-1.9533981375365675E-3</v>
      </c>
    </row>
    <row r="976" spans="1:3" ht="15.75" thickBot="1">
      <c r="A976" s="1328">
        <v>42261</v>
      </c>
      <c r="B976" s="1457">
        <v>12495</v>
      </c>
      <c r="C976" s="64">
        <f t="shared" si="18"/>
        <v>-2.7972046210612538E-3</v>
      </c>
    </row>
    <row r="977" spans="1:3" ht="15.75" thickBot="1">
      <c r="A977" s="1326">
        <v>42262</v>
      </c>
      <c r="B977" s="1458">
        <v>12620</v>
      </c>
      <c r="C977" s="64">
        <f t="shared" si="18"/>
        <v>9.9542928261513279E-3</v>
      </c>
    </row>
    <row r="978" spans="1:3" ht="15.75" thickBot="1">
      <c r="A978" s="1328">
        <v>42263</v>
      </c>
      <c r="B978" s="1457">
        <v>12686</v>
      </c>
      <c r="C978" s="64">
        <f t="shared" si="18"/>
        <v>5.2161660986382811E-3</v>
      </c>
    </row>
    <row r="979" spans="1:3" ht="15.75" thickBot="1">
      <c r="A979" s="1326">
        <v>42264</v>
      </c>
      <c r="B979" s="1458">
        <v>12741</v>
      </c>
      <c r="C979" s="64">
        <f t="shared" si="18"/>
        <v>4.3261167875383961E-3</v>
      </c>
    </row>
    <row r="980" spans="1:3" ht="15.75" thickBot="1">
      <c r="A980" s="1328">
        <v>42265</v>
      </c>
      <c r="B980" s="1457">
        <v>12500</v>
      </c>
      <c r="C980" s="64">
        <f t="shared" si="18"/>
        <v>-1.9096495690988369E-2</v>
      </c>
    </row>
    <row r="981" spans="1:3" ht="15.75" thickBot="1">
      <c r="A981" s="1326">
        <v>42269</v>
      </c>
      <c r="B981" s="1458">
        <v>12197.5</v>
      </c>
      <c r="C981" s="64">
        <f t="shared" si="18"/>
        <v>-2.4497631600400235E-2</v>
      </c>
    </row>
    <row r="982" spans="1:3" ht="15.75" thickBot="1">
      <c r="A982" s="1328">
        <v>42270</v>
      </c>
      <c r="B982" s="1457">
        <v>12140</v>
      </c>
      <c r="C982" s="64">
        <f t="shared" si="18"/>
        <v>-4.7252270765030255E-3</v>
      </c>
    </row>
    <row r="983" spans="1:3" ht="15.75" thickBot="1">
      <c r="A983" s="1326">
        <v>42271</v>
      </c>
      <c r="B983" s="1458">
        <v>12200</v>
      </c>
      <c r="C983" s="64">
        <f t="shared" si="18"/>
        <v>4.9301661078585864E-3</v>
      </c>
    </row>
    <row r="984" spans="1:3" ht="15.75" thickBot="1">
      <c r="A984" s="1328">
        <v>42272</v>
      </c>
      <c r="B984" s="1457">
        <v>12290</v>
      </c>
      <c r="C984" s="64">
        <f t="shared" si="18"/>
        <v>7.3499718387324883E-3</v>
      </c>
    </row>
    <row r="985" spans="1:3" ht="15.75" thickBot="1">
      <c r="A985" s="1326">
        <v>42275</v>
      </c>
      <c r="B985" s="1458">
        <v>12180</v>
      </c>
      <c r="C985" s="64">
        <f t="shared" si="18"/>
        <v>-8.9906612961925259E-3</v>
      </c>
    </row>
    <row r="986" spans="1:3" ht="15.75" thickBot="1">
      <c r="A986" s="1328">
        <v>42276</v>
      </c>
      <c r="B986" s="1457">
        <v>12148</v>
      </c>
      <c r="C986" s="64">
        <f t="shared" si="18"/>
        <v>-2.6307150982485834E-3</v>
      </c>
    </row>
    <row r="987" spans="1:3" ht="15.75" thickBot="1">
      <c r="A987" s="1326">
        <v>42277</v>
      </c>
      <c r="B987" s="1458">
        <v>12264.5</v>
      </c>
      <c r="C987" s="64">
        <f t="shared" si="18"/>
        <v>9.5443632874983465E-3</v>
      </c>
    </row>
    <row r="988" spans="1:3" ht="15.75" thickBot="1">
      <c r="A988" s="1328">
        <v>42282</v>
      </c>
      <c r="B988" s="1457">
        <v>12516.5</v>
      </c>
      <c r="C988" s="64">
        <f t="shared" si="18"/>
        <v>2.033886340315267E-2</v>
      </c>
    </row>
    <row r="989" spans="1:3" ht="15.75" thickBot="1">
      <c r="A989" s="1326">
        <v>42283</v>
      </c>
      <c r="B989" s="1458">
        <v>12649.5</v>
      </c>
      <c r="C989" s="64">
        <f t="shared" si="18"/>
        <v>1.0569914826515585E-2</v>
      </c>
    </row>
    <row r="990" spans="1:3" ht="15.75" thickBot="1">
      <c r="A990" s="1328">
        <v>42284</v>
      </c>
      <c r="B990" s="1457">
        <v>12804</v>
      </c>
      <c r="C990" s="64">
        <f t="shared" si="18"/>
        <v>1.213993340694771E-2</v>
      </c>
    </row>
    <row r="991" spans="1:3" ht="15.75" thickBot="1">
      <c r="A991" s="1326">
        <v>42285</v>
      </c>
      <c r="B991" s="1458">
        <v>12943</v>
      </c>
      <c r="C991" s="64">
        <f t="shared" si="18"/>
        <v>1.0797479352684478E-2</v>
      </c>
    </row>
    <row r="992" spans="1:3" ht="15.75" thickBot="1">
      <c r="A992" s="1328">
        <v>42286</v>
      </c>
      <c r="B992" s="1457">
        <v>12930</v>
      </c>
      <c r="C992" s="64">
        <f t="shared" si="18"/>
        <v>-1.0049086765350291E-3</v>
      </c>
    </row>
    <row r="993" spans="1:3" ht="15.75" thickBot="1">
      <c r="A993" s="1326">
        <v>42290</v>
      </c>
      <c r="B993" s="1458">
        <v>12900</v>
      </c>
      <c r="C993" s="64">
        <f t="shared" si="18"/>
        <v>-2.3228814161396385E-3</v>
      </c>
    </row>
    <row r="994" spans="1:3" ht="15.75" thickBot="1">
      <c r="A994" s="1328">
        <v>42291</v>
      </c>
      <c r="B994" s="1457">
        <v>12900</v>
      </c>
      <c r="C994" s="64">
        <f t="shared" si="18"/>
        <v>0</v>
      </c>
    </row>
    <row r="995" spans="1:3" ht="15.75" thickBot="1">
      <c r="A995" s="1326">
        <v>42292</v>
      </c>
      <c r="B995" s="1458">
        <v>12685</v>
      </c>
      <c r="C995" s="64">
        <f t="shared" si="18"/>
        <v>-1.6807118316381289E-2</v>
      </c>
    </row>
    <row r="996" spans="1:3" ht="15.75" thickBot="1">
      <c r="A996" s="1328">
        <v>42296</v>
      </c>
      <c r="B996" s="1457">
        <v>12570</v>
      </c>
      <c r="C996" s="64">
        <f t="shared" si="18"/>
        <v>-9.1071704490891005E-3</v>
      </c>
    </row>
    <row r="997" spans="1:3" ht="15.75" thickBot="1">
      <c r="A997" s="1326">
        <v>42297</v>
      </c>
      <c r="B997" s="1458">
        <v>12620</v>
      </c>
      <c r="C997" s="64">
        <f t="shared" si="18"/>
        <v>3.969834510911016E-3</v>
      </c>
    </row>
    <row r="998" spans="1:3" ht="15.75" thickBot="1">
      <c r="A998" s="1328">
        <v>42298</v>
      </c>
      <c r="B998" s="1457">
        <v>12557</v>
      </c>
      <c r="C998" s="64">
        <f t="shared" si="18"/>
        <v>-5.0045781062403125E-3</v>
      </c>
    </row>
    <row r="999" spans="1:3" ht="15.75" thickBot="1">
      <c r="A999" s="1326">
        <v>42299</v>
      </c>
      <c r="B999" s="1458">
        <v>12582</v>
      </c>
      <c r="C999" s="64">
        <f t="shared" si="18"/>
        <v>1.9889421410111577E-3</v>
      </c>
    </row>
    <row r="1000" spans="1:3" ht="15.75" thickBot="1">
      <c r="A1000" s="1328">
        <v>42300</v>
      </c>
      <c r="B1000" s="1457">
        <v>12639.5</v>
      </c>
      <c r="C1000" s="64">
        <f t="shared" si="18"/>
        <v>4.5596098264508627E-3</v>
      </c>
    </row>
    <row r="1001" spans="1:3" ht="15.75" thickBot="1">
      <c r="A1001" s="1326">
        <v>42303</v>
      </c>
      <c r="B1001" s="1458">
        <v>12560</v>
      </c>
      <c r="C1001" s="64">
        <f t="shared" si="18"/>
        <v>-6.309669934236122E-3</v>
      </c>
    </row>
    <row r="1002" spans="1:3" ht="15.75" thickBot="1">
      <c r="A1002" s="1328">
        <v>42304</v>
      </c>
      <c r="B1002" s="1457">
        <v>12466</v>
      </c>
      <c r="C1002" s="64">
        <f t="shared" si="18"/>
        <v>-7.51222265339374E-3</v>
      </c>
    </row>
    <row r="1003" spans="1:3" ht="15.75" thickBot="1">
      <c r="A1003" s="1326">
        <v>42305</v>
      </c>
      <c r="B1003" s="1458">
        <v>12439</v>
      </c>
      <c r="C1003" s="64">
        <f t="shared" si="18"/>
        <v>-2.1682401588312083E-3</v>
      </c>
    </row>
    <row r="1004" spans="1:3" ht="15.75" thickBot="1">
      <c r="A1004" s="1328">
        <v>42306</v>
      </c>
      <c r="B1004" s="1457">
        <v>12415</v>
      </c>
      <c r="C1004" s="64">
        <f t="shared" si="18"/>
        <v>-1.9312792676976567E-3</v>
      </c>
    </row>
    <row r="1005" spans="1:3" ht="15.75" thickBot="1">
      <c r="A1005" s="1326">
        <v>42307</v>
      </c>
      <c r="B1005" s="1458">
        <v>12400</v>
      </c>
      <c r="C1005" s="64">
        <f t="shared" si="18"/>
        <v>-1.2089463491387819E-3</v>
      </c>
    </row>
    <row r="1006" spans="1:3" ht="15.75" thickBot="1">
      <c r="A1006" s="1328">
        <v>42311</v>
      </c>
      <c r="B1006" s="1457">
        <v>12300</v>
      </c>
      <c r="C1006" s="64">
        <f t="shared" si="18"/>
        <v>-8.0972102326193618E-3</v>
      </c>
    </row>
    <row r="1007" spans="1:3" ht="15.75" thickBot="1">
      <c r="A1007" s="1326">
        <v>42312</v>
      </c>
      <c r="B1007" s="1458">
        <v>12360</v>
      </c>
      <c r="C1007" s="64">
        <f t="shared" si="18"/>
        <v>4.8661896511729063E-3</v>
      </c>
    </row>
    <row r="1008" spans="1:3" ht="15.75" thickBot="1">
      <c r="A1008" s="1328">
        <v>42313</v>
      </c>
      <c r="B1008" s="1457">
        <v>12400</v>
      </c>
      <c r="C1008" s="64">
        <f t="shared" si="18"/>
        <v>3.23102058144654E-3</v>
      </c>
    </row>
    <row r="1009" spans="1:3" ht="15.75" thickBot="1">
      <c r="A1009" s="1326">
        <v>42318</v>
      </c>
      <c r="B1009" s="1458">
        <v>12400</v>
      </c>
      <c r="C1009" s="64">
        <f t="shared" si="18"/>
        <v>0</v>
      </c>
    </row>
    <row r="1010" spans="1:3" ht="15.75" thickBot="1">
      <c r="A1010" s="1328">
        <v>42319</v>
      </c>
      <c r="B1010" s="1457">
        <v>12400</v>
      </c>
      <c r="C1010" s="64">
        <f t="shared" si="18"/>
        <v>0</v>
      </c>
    </row>
    <row r="1011" spans="1:3" ht="15.75" thickBot="1">
      <c r="A1011" s="1326">
        <v>42321</v>
      </c>
      <c r="B1011" s="1458">
        <v>11729</v>
      </c>
      <c r="C1011" s="64">
        <f t="shared" si="18"/>
        <v>-5.5632065071623139E-2</v>
      </c>
    </row>
    <row r="1012" spans="1:3" ht="15.75" thickBot="1">
      <c r="A1012" s="1328">
        <v>42325</v>
      </c>
      <c r="B1012" s="1457">
        <v>11535</v>
      </c>
      <c r="C1012" s="64">
        <f t="shared" si="18"/>
        <v>-1.6678515913651059E-2</v>
      </c>
    </row>
    <row r="1013" spans="1:3" ht="15.75" thickBot="1">
      <c r="A1013" s="1326">
        <v>42327</v>
      </c>
      <c r="B1013" s="1458">
        <v>11430</v>
      </c>
      <c r="C1013" s="64">
        <f t="shared" si="18"/>
        <v>-9.1444138189976567E-3</v>
      </c>
    </row>
    <row r="1014" spans="1:3" ht="15.75" thickBot="1">
      <c r="A1014" s="1328">
        <v>42331</v>
      </c>
      <c r="B1014" s="1457">
        <v>11600</v>
      </c>
      <c r="C1014" s="64">
        <f t="shared" si="18"/>
        <v>1.4763620305599624E-2</v>
      </c>
    </row>
    <row r="1015" spans="1:3" ht="15.75" thickBot="1">
      <c r="A1015" s="1326">
        <v>42332</v>
      </c>
      <c r="B1015" s="1458">
        <v>11524</v>
      </c>
      <c r="C1015" s="64">
        <f t="shared" si="18"/>
        <v>-6.5732808900369139E-3</v>
      </c>
    </row>
    <row r="1016" spans="1:3" ht="15.75" thickBot="1">
      <c r="A1016" s="1328">
        <v>42334</v>
      </c>
      <c r="B1016" s="1457">
        <v>11117</v>
      </c>
      <c r="C1016" s="64">
        <f t="shared" si="18"/>
        <v>-3.595634897080411E-2</v>
      </c>
    </row>
    <row r="1017" spans="1:3" ht="15.75" thickBot="1">
      <c r="A1017" s="1326">
        <v>42338</v>
      </c>
      <c r="B1017" s="1458">
        <v>11042</v>
      </c>
      <c r="C1017" s="64">
        <f t="shared" si="18"/>
        <v>-6.7692843896250158E-3</v>
      </c>
    </row>
    <row r="1018" spans="1:3" ht="15.75" thickBot="1">
      <c r="A1018" s="1328">
        <v>42339</v>
      </c>
      <c r="B1018" s="1457">
        <v>11162</v>
      </c>
      <c r="C1018" s="64">
        <f t="shared" si="18"/>
        <v>1.0808968504388996E-2</v>
      </c>
    </row>
    <row r="1019" spans="1:3" ht="15.75" thickBot="1">
      <c r="A1019" s="1326">
        <v>42340</v>
      </c>
      <c r="B1019" s="1458">
        <v>11121</v>
      </c>
      <c r="C1019" s="64">
        <f t="shared" si="18"/>
        <v>-3.6799395295369266E-3</v>
      </c>
    </row>
    <row r="1020" spans="1:3" ht="15.75" thickBot="1">
      <c r="A1020" s="1328">
        <v>42341</v>
      </c>
      <c r="B1020" s="1457">
        <v>10886.5</v>
      </c>
      <c r="C1020" s="64">
        <f t="shared" si="18"/>
        <v>-2.1311723326468288E-2</v>
      </c>
    </row>
    <row r="1021" spans="1:3" ht="15.75" thickBot="1">
      <c r="A1021" s="1326">
        <v>42342</v>
      </c>
      <c r="B1021" s="1458">
        <v>10886.5</v>
      </c>
      <c r="C1021" s="64">
        <f t="shared" si="18"/>
        <v>0</v>
      </c>
    </row>
    <row r="1022" spans="1:3" ht="15.75" thickBot="1">
      <c r="A1022" s="1328">
        <v>42347</v>
      </c>
      <c r="B1022" s="1457">
        <v>10636</v>
      </c>
      <c r="C1022" s="64">
        <f t="shared" si="18"/>
        <v>-2.3279016129463172E-2</v>
      </c>
    </row>
    <row r="1023" spans="1:3" ht="15.75" thickBot="1">
      <c r="A1023" s="1326">
        <v>42348</v>
      </c>
      <c r="B1023" s="1458">
        <v>10977</v>
      </c>
      <c r="C1023" s="64">
        <f t="shared" si="18"/>
        <v>3.1557701324406044E-2</v>
      </c>
    </row>
    <row r="1024" spans="1:3" ht="15.75" thickBot="1">
      <c r="A1024" s="1328">
        <v>42349</v>
      </c>
      <c r="B1024" s="1457">
        <v>10870</v>
      </c>
      <c r="C1024" s="64">
        <f t="shared" si="18"/>
        <v>-9.7954735720613487E-3</v>
      </c>
    </row>
    <row r="1025" spans="1:3" ht="15.75" thickBot="1">
      <c r="A1025" s="1326">
        <v>42352</v>
      </c>
      <c r="B1025" s="1458">
        <v>10756.5</v>
      </c>
      <c r="C1025" s="64">
        <f t="shared" si="18"/>
        <v>-1.0496478124515898E-2</v>
      </c>
    </row>
    <row r="1026" spans="1:3" ht="15.75" thickBot="1">
      <c r="A1026" s="1328">
        <v>42353</v>
      </c>
      <c r="B1026" s="1457">
        <v>11105</v>
      </c>
      <c r="C1026" s="64">
        <f t="shared" si="18"/>
        <v>3.1885234337788546E-2</v>
      </c>
    </row>
    <row r="1027" spans="1:3" ht="15.75" thickBot="1">
      <c r="A1027" s="1326">
        <v>42354</v>
      </c>
      <c r="B1027" s="1458">
        <v>11332</v>
      </c>
      <c r="C1027" s="64">
        <f t="shared" si="18"/>
        <v>2.0235124621879354E-2</v>
      </c>
    </row>
    <row r="1028" spans="1:3" ht="15.75" thickBot="1">
      <c r="A1028" s="1328">
        <v>42355</v>
      </c>
      <c r="B1028" s="1457">
        <v>11309</v>
      </c>
      <c r="C1028" s="64">
        <f>+LN(B1028/B1027)</f>
        <v>-2.0317130790802346E-3</v>
      </c>
    </row>
    <row r="1029" spans="1:3" ht="15.75" thickBot="1">
      <c r="A1029" s="1326">
        <v>42356</v>
      </c>
      <c r="B1029" s="1458">
        <v>11468</v>
      </c>
      <c r="C1029" s="64">
        <f>+LN(B1029/B1028)</f>
        <v>1.3961679131933432E-2</v>
      </c>
    </row>
    <row r="1030" spans="1:3" ht="15.75" thickBot="1">
      <c r="A1030" s="1328">
        <v>42359</v>
      </c>
      <c r="B1030" s="1457">
        <v>11315</v>
      </c>
      <c r="C1030" s="64">
        <f>+LN(B1030/B1029)</f>
        <v>-1.3431268935622673E-2</v>
      </c>
    </row>
    <row r="1031" spans="1:3" ht="15.75" thickBot="1">
      <c r="A1031" s="1326">
        <v>42361</v>
      </c>
      <c r="B1031" s="1458">
        <v>11558.5</v>
      </c>
      <c r="C1031" s="64">
        <f>+LN(B1031/B1030)</f>
        <v>2.1291817953993833E-2</v>
      </c>
    </row>
    <row r="1032" spans="1:3" ht="15.75" thickBot="1">
      <c r="A1032" s="1328">
        <v>42362</v>
      </c>
      <c r="B1032" s="1457">
        <v>11791</v>
      </c>
      <c r="C1032" s="64">
        <f>+LN(B1032/B1031)</f>
        <v>1.9915431555041854E-2</v>
      </c>
    </row>
    <row r="1033" spans="1:3">
      <c r="C1033" s="701"/>
    </row>
  </sheetData>
  <sortState ref="A2:B1032">
    <sortCondition ref="A2:A1032"/>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T168"/>
  <sheetViews>
    <sheetView showGridLines="0" zoomScale="80" zoomScaleNormal="80" workbookViewId="0">
      <pane ySplit="1" topLeftCell="A113" activePane="bottomLeft" state="frozen"/>
      <selection pane="bottomLeft" activeCell="O131" sqref="O131"/>
    </sheetView>
  </sheetViews>
  <sheetFormatPr baseColWidth="10" defaultColWidth="11.42578125" defaultRowHeight="15"/>
  <cols>
    <col min="1" max="1" width="37.85546875" style="16" customWidth="1"/>
    <col min="2" max="4" width="12.140625" style="16" customWidth="1"/>
    <col min="5" max="5" width="13.28515625" style="16" customWidth="1"/>
    <col min="6" max="7" width="11.42578125" style="16" customWidth="1"/>
    <col min="8" max="8" width="11.42578125" style="64" customWidth="1"/>
    <col min="9" max="10" width="13.7109375" style="64" customWidth="1"/>
    <col min="11" max="11" width="10.140625" style="16" customWidth="1"/>
    <col min="12" max="13" width="8.7109375" style="16" bestFit="1" customWidth="1"/>
    <col min="14" max="14" width="11.42578125" style="16" bestFit="1" customWidth="1"/>
    <col min="15" max="16" width="8.7109375" style="16" bestFit="1" customWidth="1"/>
    <col min="17" max="17" width="11.42578125" style="126"/>
    <col min="18" max="19" width="11.42578125" style="64"/>
    <col min="20" max="16384" width="11.42578125" style="16"/>
  </cols>
  <sheetData>
    <row r="1" spans="1:20" ht="15.75">
      <c r="A1" s="1538" t="s">
        <v>493</v>
      </c>
      <c r="B1" s="1539"/>
      <c r="C1" s="1539"/>
      <c r="D1" s="1539"/>
      <c r="E1" s="1539"/>
      <c r="F1" s="1539"/>
      <c r="G1" s="1539"/>
      <c r="H1" s="1539"/>
      <c r="I1" s="1539"/>
      <c r="J1" s="1539"/>
      <c r="K1" s="1539"/>
      <c r="L1" s="1539"/>
      <c r="M1" s="1539"/>
      <c r="N1" s="1539"/>
      <c r="O1" s="1539"/>
      <c r="P1" s="1539"/>
      <c r="Q1" s="1539"/>
      <c r="R1" s="712"/>
      <c r="S1" s="712"/>
    </row>
    <row r="2" spans="1:20">
      <c r="A2" s="367"/>
      <c r="B2" s="368"/>
      <c r="C2" s="368"/>
      <c r="D2" s="368"/>
      <c r="E2" s="368"/>
      <c r="F2" s="368"/>
      <c r="G2" s="368"/>
      <c r="H2" s="368"/>
      <c r="I2" s="368"/>
      <c r="J2" s="368"/>
      <c r="K2" s="368"/>
      <c r="L2" s="368"/>
      <c r="M2" s="368"/>
      <c r="N2" s="368"/>
      <c r="O2" s="368"/>
      <c r="P2" s="368"/>
      <c r="Q2" s="3"/>
      <c r="R2" s="3"/>
      <c r="S2" s="3"/>
    </row>
    <row r="3" spans="1:20" ht="15.75" thickBot="1">
      <c r="A3" s="281" t="s">
        <v>10</v>
      </c>
      <c r="B3" s="126"/>
      <c r="C3" s="3"/>
      <c r="D3" s="3"/>
      <c r="E3" s="3"/>
      <c r="F3" s="3"/>
      <c r="G3" s="3"/>
      <c r="H3" s="3"/>
      <c r="I3" s="3"/>
      <c r="J3" s="3"/>
      <c r="K3" s="3"/>
      <c r="L3" s="3"/>
      <c r="M3" s="3"/>
      <c r="N3" s="3"/>
      <c r="O3" s="3"/>
      <c r="P3" s="727"/>
      <c r="Q3" s="727"/>
      <c r="R3" s="727"/>
      <c r="S3" s="3"/>
    </row>
    <row r="4" spans="1:20" ht="15.75" thickTop="1">
      <c r="A4" s="118" t="s">
        <v>11</v>
      </c>
      <c r="B4" s="119"/>
      <c r="C4" s="119"/>
      <c r="D4" s="119"/>
      <c r="E4" s="119"/>
      <c r="F4" s="119"/>
      <c r="G4" s="119"/>
      <c r="H4" s="522"/>
      <c r="I4" s="522"/>
      <c r="J4" s="522"/>
      <c r="K4" s="119"/>
      <c r="L4" s="119"/>
      <c r="M4" s="522"/>
      <c r="N4" s="522"/>
      <c r="O4" s="119"/>
      <c r="P4" s="3"/>
      <c r="Q4" s="3"/>
      <c r="R4" s="3"/>
      <c r="S4" s="3"/>
    </row>
    <row r="5" spans="1:20">
      <c r="A5" s="1409"/>
      <c r="B5" s="1407">
        <v>2007</v>
      </c>
      <c r="C5" s="1407">
        <v>2008</v>
      </c>
      <c r="D5" s="1408">
        <v>2009</v>
      </c>
      <c r="E5" s="1407">
        <v>2010</v>
      </c>
      <c r="F5" s="1407">
        <v>2011</v>
      </c>
      <c r="G5" s="1408">
        <v>2012</v>
      </c>
      <c r="H5" s="1407">
        <v>2013</v>
      </c>
      <c r="I5" s="1407">
        <v>2014</v>
      </c>
      <c r="J5" s="4"/>
      <c r="K5" s="772">
        <v>2007</v>
      </c>
      <c r="L5" s="772">
        <v>2008</v>
      </c>
      <c r="M5" s="772">
        <v>2009</v>
      </c>
      <c r="N5" s="772">
        <v>2010</v>
      </c>
      <c r="O5" s="772">
        <v>2011</v>
      </c>
      <c r="P5" s="772">
        <v>2012</v>
      </c>
      <c r="Q5" s="772">
        <v>2013</v>
      </c>
      <c r="R5" s="772">
        <v>2014</v>
      </c>
      <c r="S5" s="3"/>
    </row>
    <row r="6" spans="1:20">
      <c r="A6" s="1411" t="s">
        <v>12</v>
      </c>
      <c r="B6" s="47">
        <f>+'Anexo 2 - ER'!C4</f>
        <v>68245.282000000007</v>
      </c>
      <c r="C6" s="47">
        <f>+'Anexo 2 - ER'!D4</f>
        <v>76021.293999999994</v>
      </c>
      <c r="D6" s="50">
        <f>+'Anexo 2 - ER'!E4</f>
        <v>79887.293999999994</v>
      </c>
      <c r="E6" s="47">
        <f>+'Anexo 2 - ER'!F4</f>
        <v>85757.510999999999</v>
      </c>
      <c r="F6" s="51">
        <f>+'Anexo 2 - ER'!G4</f>
        <v>91145.91</v>
      </c>
      <c r="G6" s="50">
        <f>+'Anexo 2 - ER'!H4</f>
        <v>92529.489000000001</v>
      </c>
      <c r="H6" s="47">
        <f>+'Anexo 2 - ER'!I4</f>
        <v>99703.27</v>
      </c>
      <c r="I6" s="51">
        <f>+'Anexo 2 - ER'!J4</f>
        <v>99918.35</v>
      </c>
      <c r="J6" s="796"/>
      <c r="K6" s="769">
        <f t="shared" ref="K6:R6" si="0">+B6/B$6</f>
        <v>1</v>
      </c>
      <c r="L6" s="769">
        <f t="shared" si="0"/>
        <v>1</v>
      </c>
      <c r="M6" s="769">
        <f t="shared" si="0"/>
        <v>1</v>
      </c>
      <c r="N6" s="769">
        <f t="shared" si="0"/>
        <v>1</v>
      </c>
      <c r="O6" s="769">
        <f t="shared" si="0"/>
        <v>1</v>
      </c>
      <c r="P6" s="769">
        <f t="shared" si="0"/>
        <v>1</v>
      </c>
      <c r="Q6" s="769">
        <f t="shared" si="0"/>
        <v>1</v>
      </c>
      <c r="R6" s="769">
        <f t="shared" si="0"/>
        <v>1</v>
      </c>
      <c r="S6" s="3"/>
    </row>
    <row r="7" spans="1:20">
      <c r="A7" s="1412" t="s">
        <v>13</v>
      </c>
      <c r="B7" s="49">
        <f>+'Anexo 2 - ER'!C6</f>
        <v>31460.511999999999</v>
      </c>
      <c r="C7" s="49">
        <f>+'Anexo 2 - ER'!D6</f>
        <v>28912.302</v>
      </c>
      <c r="D7" s="52">
        <f>+'Anexo 2 - ER'!E6</f>
        <v>28175.117999999999</v>
      </c>
      <c r="E7" s="49">
        <f>+'Anexo 2 - ER'!F6</f>
        <v>29245</v>
      </c>
      <c r="F7" s="53">
        <f>+'Anexo 2 - ER'!G6</f>
        <v>34776.125999999997</v>
      </c>
      <c r="G7" s="52">
        <f>+'Anexo 2 - ER'!H6</f>
        <v>32993.588000000003</v>
      </c>
      <c r="H7" s="49">
        <f>+'Anexo 2 - ER'!I6</f>
        <v>35549.03</v>
      </c>
      <c r="I7" s="53">
        <f>+'Anexo 2 - ER'!J6</f>
        <v>37860.730000000003</v>
      </c>
      <c r="J7" s="52"/>
      <c r="K7" s="770">
        <f t="shared" ref="K7:R7" si="1">+B7/B6</f>
        <v>0.46099175031616096</v>
      </c>
      <c r="L7" s="770">
        <f t="shared" si="1"/>
        <v>0.38031846708634032</v>
      </c>
      <c r="M7" s="770">
        <f t="shared" si="1"/>
        <v>0.35268584763930044</v>
      </c>
      <c r="N7" s="770">
        <f t="shared" si="1"/>
        <v>0.3410196921410184</v>
      </c>
      <c r="O7" s="770">
        <f t="shared" si="1"/>
        <v>0.38154346146744267</v>
      </c>
      <c r="P7" s="770">
        <f t="shared" si="1"/>
        <v>0.35657376212247321</v>
      </c>
      <c r="Q7" s="770">
        <f t="shared" si="1"/>
        <v>0.35654828572824138</v>
      </c>
      <c r="R7" s="770">
        <f t="shared" si="1"/>
        <v>0.37891668547368929</v>
      </c>
      <c r="S7" s="3"/>
    </row>
    <row r="8" spans="1:20">
      <c r="A8" s="1411" t="s">
        <v>298</v>
      </c>
      <c r="B8" s="803">
        <f t="shared" ref="B8:P8" si="2">+B6-B7</f>
        <v>36784.770000000004</v>
      </c>
      <c r="C8" s="803">
        <f t="shared" si="2"/>
        <v>47108.991999999998</v>
      </c>
      <c r="D8" s="804">
        <f t="shared" si="2"/>
        <v>51712.175999999992</v>
      </c>
      <c r="E8" s="803">
        <f t="shared" si="2"/>
        <v>56512.510999999999</v>
      </c>
      <c r="F8" s="805">
        <f t="shared" si="2"/>
        <v>56369.784000000007</v>
      </c>
      <c r="G8" s="804">
        <f t="shared" si="2"/>
        <v>59535.900999999998</v>
      </c>
      <c r="H8" s="803">
        <f>+H6-H7</f>
        <v>64154.240000000005</v>
      </c>
      <c r="I8" s="805">
        <f>+I6-I7</f>
        <v>62057.62</v>
      </c>
      <c r="J8" s="796"/>
      <c r="K8" s="769">
        <f t="shared" si="2"/>
        <v>0.53900824968383909</v>
      </c>
      <c r="L8" s="769">
        <f t="shared" si="2"/>
        <v>0.61968153291365968</v>
      </c>
      <c r="M8" s="769">
        <f t="shared" si="2"/>
        <v>0.64731415236069956</v>
      </c>
      <c r="N8" s="769">
        <f t="shared" si="2"/>
        <v>0.65898030785898154</v>
      </c>
      <c r="O8" s="769">
        <f t="shared" si="2"/>
        <v>0.61845653853255733</v>
      </c>
      <c r="P8" s="769">
        <f t="shared" si="2"/>
        <v>0.64342623787752684</v>
      </c>
      <c r="Q8" s="769">
        <f>+Q6-Q7</f>
        <v>0.64345171427175862</v>
      </c>
      <c r="R8" s="769">
        <f>+R6-R7</f>
        <v>0.62108331452631071</v>
      </c>
      <c r="S8" s="121"/>
      <c r="T8" s="767" t="s">
        <v>62</v>
      </c>
    </row>
    <row r="9" spans="1:20">
      <c r="A9" s="1413" t="s">
        <v>299</v>
      </c>
      <c r="B9" s="49">
        <f>+'Anexo 2 - ER'!C10+'Anexo 2 - ER'!C12</f>
        <v>22044.507000000001</v>
      </c>
      <c r="C9" s="49">
        <f>+'Anexo 2 - ER'!D10+'Anexo 2 - ER'!D12</f>
        <v>26404.234</v>
      </c>
      <c r="D9" s="52">
        <f>+'Anexo 2 - ER'!E10+'Anexo 2 - ER'!E12</f>
        <v>31446.351000000002</v>
      </c>
      <c r="E9" s="49">
        <f>+'Anexo 2 - ER'!F10+'Anexo 2 - ER'!F12</f>
        <v>32837.303</v>
      </c>
      <c r="F9" s="53">
        <f>+'Anexo 2 - ER'!G10+'Anexo 2 - ER'!G12</f>
        <v>36841.718999999997</v>
      </c>
      <c r="G9" s="52">
        <f>+'Anexo 2 - ER'!H10+'Anexo 2 - ER'!H12</f>
        <v>37446.392</v>
      </c>
      <c r="H9" s="49">
        <f>+'Anexo 2 - ER'!I10+'Anexo 2 - ER'!I12</f>
        <v>46014.34</v>
      </c>
      <c r="I9" s="53">
        <f>+'Anexo 2 - ER'!J10+'Anexo 2 - ER'!J12</f>
        <v>49153.66</v>
      </c>
      <c r="J9" s="52"/>
      <c r="K9" s="770">
        <f t="shared" ref="K9:R9" si="3">+B9/B6</f>
        <v>0.32301876926818179</v>
      </c>
      <c r="L9" s="770">
        <f t="shared" si="3"/>
        <v>0.34732681608918681</v>
      </c>
      <c r="M9" s="770">
        <f t="shared" si="3"/>
        <v>0.3936339488479858</v>
      </c>
      <c r="N9" s="770">
        <f t="shared" si="3"/>
        <v>0.38290876935549123</v>
      </c>
      <c r="O9" s="770">
        <f t="shared" si="3"/>
        <v>0.40420594846219643</v>
      </c>
      <c r="P9" s="770">
        <f t="shared" si="3"/>
        <v>0.404696842106196</v>
      </c>
      <c r="Q9" s="770">
        <f t="shared" si="3"/>
        <v>0.46151284707111406</v>
      </c>
      <c r="R9" s="770">
        <f t="shared" si="3"/>
        <v>0.49193826759549175</v>
      </c>
      <c r="S9" s="121"/>
      <c r="T9" s="768">
        <v>0.33</v>
      </c>
    </row>
    <row r="10" spans="1:20">
      <c r="A10" s="1411" t="s">
        <v>14</v>
      </c>
      <c r="B10" s="47">
        <f>+'Anexo 2 - ER'!C14</f>
        <v>14740.263000000001</v>
      </c>
      <c r="C10" s="47">
        <f>+'Anexo 2 - ER'!D14</f>
        <v>20704.758000000002</v>
      </c>
      <c r="D10" s="50">
        <f>+'Anexo 2 - ER'!E14</f>
        <v>20265.825000000001</v>
      </c>
      <c r="E10" s="47">
        <f>+'Anexo 2 - ER'!F14</f>
        <v>23675.207999999999</v>
      </c>
      <c r="F10" s="51">
        <f>+'Anexo 2 - ER'!G14</f>
        <v>19528.064999999999</v>
      </c>
      <c r="G10" s="50">
        <f>+'Anexo 2 - ER'!H14</f>
        <v>22089.508999999998</v>
      </c>
      <c r="H10" s="47">
        <f>+'Anexo 2 - ER'!I14</f>
        <v>18139.900000000009</v>
      </c>
      <c r="I10" s="51">
        <f>+I8-I9</f>
        <v>12903.96</v>
      </c>
      <c r="J10" s="796"/>
      <c r="K10" s="771">
        <f t="shared" ref="K10:P10" si="4">+K8-K9</f>
        <v>0.2159894804156573</v>
      </c>
      <c r="L10" s="771">
        <f t="shared" si="4"/>
        <v>0.27235471682447288</v>
      </c>
      <c r="M10" s="771">
        <f t="shared" si="4"/>
        <v>0.25368020351271375</v>
      </c>
      <c r="N10" s="771">
        <f t="shared" si="4"/>
        <v>0.27607153850349031</v>
      </c>
      <c r="O10" s="771">
        <f t="shared" si="4"/>
        <v>0.2142505900703609</v>
      </c>
      <c r="P10" s="771">
        <f t="shared" si="4"/>
        <v>0.23872939577133084</v>
      </c>
      <c r="Q10" s="771">
        <f>+Q8-Q9</f>
        <v>0.18193886720064456</v>
      </c>
      <c r="R10" s="771">
        <f>+R8-R9</f>
        <v>0.12914504693081896</v>
      </c>
      <c r="S10" s="3"/>
    </row>
    <row r="11" spans="1:20">
      <c r="A11" s="1412" t="s">
        <v>5</v>
      </c>
      <c r="B11" s="806">
        <f>+'Anexo 4 - FCL'!B6</f>
        <v>15167.788</v>
      </c>
      <c r="C11" s="806">
        <f>+'Anexo 4 - FCL'!C6</f>
        <v>21161.253000000004</v>
      </c>
      <c r="D11" s="807">
        <f>+'Anexo 4 - FCL'!D6</f>
        <v>20705.576000000001</v>
      </c>
      <c r="E11" s="806">
        <f>+'Anexo 4 - FCL'!E6</f>
        <v>24154.934999999998</v>
      </c>
      <c r="F11" s="808">
        <f>+'Anexo 4 - FCL'!F6</f>
        <v>19909.325999999997</v>
      </c>
      <c r="G11" s="807">
        <f>+'Anexo 4 - FCL'!G6</f>
        <v>22452.508999999998</v>
      </c>
      <c r="H11" s="806">
        <f>+'Anexo 4 - FCL'!H6</f>
        <v>18457.900000000009</v>
      </c>
      <c r="I11" s="808">
        <f>+'Anexo 4 - FCL'!I6</f>
        <v>13212.540000000003</v>
      </c>
      <c r="J11" s="52"/>
      <c r="K11" s="770">
        <f t="shared" ref="K11:R11" si="5">+B11/B6</f>
        <v>0.22225401603586309</v>
      </c>
      <c r="L11" s="770">
        <f t="shared" si="5"/>
        <v>0.27835954752361891</v>
      </c>
      <c r="M11" s="770">
        <f t="shared" si="5"/>
        <v>0.2591848460907939</v>
      </c>
      <c r="N11" s="770">
        <f t="shared" si="5"/>
        <v>0.28166553248029785</v>
      </c>
      <c r="O11" s="770">
        <f t="shared" si="5"/>
        <v>0.21843356438045325</v>
      </c>
      <c r="P11" s="770">
        <f t="shared" si="5"/>
        <v>0.24265246941977597</v>
      </c>
      <c r="Q11" s="770">
        <f t="shared" si="5"/>
        <v>0.18512833129745904</v>
      </c>
      <c r="R11" s="770">
        <f t="shared" si="5"/>
        <v>0.13223336854541734</v>
      </c>
      <c r="S11" s="3"/>
    </row>
    <row r="12" spans="1:20">
      <c r="A12" s="1414" t="s">
        <v>306</v>
      </c>
      <c r="B12" s="766">
        <f>+'Anexo 2 - ER'!C27</f>
        <v>12306.288</v>
      </c>
      <c r="C12" s="766">
        <f>+'Anexo 2 - ER'!D27</f>
        <v>22940.538</v>
      </c>
      <c r="D12" s="54">
        <f>+'Anexo 2 - ER'!E27</f>
        <v>13989.019</v>
      </c>
      <c r="E12" s="766">
        <f>+'Anexo 2 - ER'!F27</f>
        <v>18180.749</v>
      </c>
      <c r="F12" s="55">
        <f>+'Anexo 2 - ER'!G27</f>
        <v>17945.632000000001</v>
      </c>
      <c r="G12" s="54">
        <f>+'Anexo 2 - ER'!H27</f>
        <v>15037.779</v>
      </c>
      <c r="H12" s="766">
        <f>+'Anexo 2 - ER'!I27</f>
        <v>13841.280000000012</v>
      </c>
      <c r="I12" s="55">
        <f>+'Anexo 2 - ER'!J27</f>
        <v>15015.330000000005</v>
      </c>
      <c r="J12" s="46"/>
      <c r="K12" s="9"/>
      <c r="L12" s="9"/>
      <c r="M12" s="9"/>
      <c r="N12" s="5"/>
      <c r="O12" s="5"/>
      <c r="P12" s="5"/>
      <c r="Q12" s="5"/>
      <c r="R12" s="5"/>
      <c r="S12" s="3"/>
    </row>
    <row r="13" spans="1:20">
      <c r="A13" s="122"/>
      <c r="B13" s="3"/>
      <c r="C13" s="3"/>
      <c r="D13" s="3"/>
      <c r="E13" s="3"/>
      <c r="F13" s="3"/>
      <c r="G13" s="3"/>
      <c r="H13" s="3"/>
      <c r="I13" s="3"/>
      <c r="J13" s="3"/>
      <c r="K13" s="3"/>
      <c r="L13" s="3"/>
      <c r="M13" s="3"/>
      <c r="N13" s="3"/>
      <c r="O13" s="3"/>
      <c r="P13" s="3"/>
      <c r="Q13" s="3"/>
      <c r="R13" s="3"/>
      <c r="S13" s="3"/>
    </row>
    <row r="14" spans="1:20" s="64" customFormat="1">
      <c r="A14" s="4" t="s">
        <v>15</v>
      </c>
      <c r="B14" s="3"/>
      <c r="C14" s="93"/>
      <c r="D14" s="3"/>
      <c r="E14" s="3"/>
      <c r="F14" s="3"/>
      <c r="G14" s="3"/>
      <c r="H14" s="3"/>
      <c r="I14" s="3"/>
      <c r="J14" s="3"/>
      <c r="K14" s="3"/>
      <c r="L14" s="3"/>
      <c r="M14" s="3"/>
      <c r="N14" s="3"/>
      <c r="O14" s="3"/>
      <c r="P14" s="4"/>
      <c r="Q14" s="4"/>
      <c r="R14" s="4"/>
      <c r="S14" s="3"/>
    </row>
    <row r="15" spans="1:20">
      <c r="A15" s="740"/>
      <c r="B15" s="1407">
        <v>2007</v>
      </c>
      <c r="C15" s="1407">
        <v>2008</v>
      </c>
      <c r="D15" s="1422">
        <v>2009</v>
      </c>
      <c r="E15" s="1407">
        <v>2010</v>
      </c>
      <c r="F15" s="1407">
        <v>2011</v>
      </c>
      <c r="G15" s="1422">
        <v>2012</v>
      </c>
      <c r="H15" s="1407">
        <v>2013</v>
      </c>
      <c r="I15" s="1407">
        <v>2014</v>
      </c>
      <c r="J15" s="3"/>
      <c r="K15" s="3"/>
      <c r="L15" s="3"/>
      <c r="M15" s="3"/>
      <c r="N15" s="3"/>
      <c r="O15" s="3"/>
      <c r="P15" s="5"/>
      <c r="Q15" s="5"/>
      <c r="R15" s="5"/>
      <c r="S15" s="3"/>
    </row>
    <row r="16" spans="1:20">
      <c r="A16" s="1415" t="s">
        <v>16</v>
      </c>
      <c r="B16" s="93">
        <f>+'Anexo 2 - ER'!C5</f>
        <v>0.16200780565663653</v>
      </c>
      <c r="C16" s="93">
        <f t="shared" ref="C16:I16" si="6">+C6/B6-1</f>
        <v>0.11394211837237322</v>
      </c>
      <c r="D16" s="93">
        <f t="shared" si="6"/>
        <v>5.0854172516453078E-2</v>
      </c>
      <c r="E16" s="93">
        <f t="shared" si="6"/>
        <v>7.3481234700476961E-2</v>
      </c>
      <c r="F16" s="93">
        <f t="shared" si="6"/>
        <v>6.2832968648075749E-2</v>
      </c>
      <c r="G16" s="93">
        <f t="shared" si="6"/>
        <v>1.517982540302687E-2</v>
      </c>
      <c r="H16" s="93">
        <f t="shared" si="6"/>
        <v>7.7529672729522936E-2</v>
      </c>
      <c r="I16" s="1418">
        <f t="shared" si="6"/>
        <v>2.157201062713332E-3</v>
      </c>
      <c r="J16" s="7"/>
      <c r="K16" s="3"/>
      <c r="L16" s="3"/>
      <c r="M16" s="3"/>
      <c r="N16" s="3"/>
      <c r="O16" s="3"/>
      <c r="P16" s="2"/>
      <c r="Q16" s="2"/>
      <c r="R16" s="2"/>
      <c r="S16" s="3"/>
    </row>
    <row r="17" spans="1:19">
      <c r="A17" s="1416" t="s">
        <v>419</v>
      </c>
      <c r="B17" s="93">
        <f t="shared" ref="B17:G17" si="7">+B8/B6</f>
        <v>0.53900824968383898</v>
      </c>
      <c r="C17" s="93">
        <f t="shared" si="7"/>
        <v>0.61968153291365968</v>
      </c>
      <c r="D17" s="93">
        <f t="shared" si="7"/>
        <v>0.64731415236069956</v>
      </c>
      <c r="E17" s="93">
        <f t="shared" si="7"/>
        <v>0.65898030785898154</v>
      </c>
      <c r="F17" s="93">
        <f t="shared" si="7"/>
        <v>0.61845653853255733</v>
      </c>
      <c r="G17" s="93">
        <f t="shared" si="7"/>
        <v>0.64342623787752673</v>
      </c>
      <c r="H17" s="93">
        <f>+H8/H6</f>
        <v>0.64345171427175862</v>
      </c>
      <c r="I17" s="1418">
        <f>+I8/I6</f>
        <v>0.62108331452631071</v>
      </c>
      <c r="J17" s="5"/>
      <c r="K17" s="3" t="s">
        <v>17</v>
      </c>
      <c r="L17" s="3"/>
      <c r="M17" s="3"/>
      <c r="N17" s="3"/>
      <c r="O17" s="3"/>
      <c r="P17" s="5"/>
      <c r="Q17" s="5"/>
      <c r="R17" s="5"/>
      <c r="S17" s="3"/>
    </row>
    <row r="18" spans="1:19">
      <c r="A18" s="1416" t="s">
        <v>18</v>
      </c>
      <c r="B18" s="93">
        <f t="shared" ref="B18:G18" si="8">+B11/B6</f>
        <v>0.22225401603586309</v>
      </c>
      <c r="C18" s="93">
        <f t="shared" si="8"/>
        <v>0.27835954752361891</v>
      </c>
      <c r="D18" s="93">
        <f t="shared" si="8"/>
        <v>0.2591848460907939</v>
      </c>
      <c r="E18" s="93">
        <f t="shared" si="8"/>
        <v>0.28166553248029785</v>
      </c>
      <c r="F18" s="93">
        <f t="shared" si="8"/>
        <v>0.21843356438045325</v>
      </c>
      <c r="G18" s="93">
        <f t="shared" si="8"/>
        <v>0.24265246941977597</v>
      </c>
      <c r="H18" s="93">
        <f>+H11/H6</f>
        <v>0.18512833129745904</v>
      </c>
      <c r="I18" s="1418">
        <f>+I11/I6</f>
        <v>0.13223336854541734</v>
      </c>
      <c r="J18" s="5"/>
      <c r="K18" s="3"/>
      <c r="L18" s="3"/>
      <c r="M18" s="3"/>
      <c r="N18" s="3"/>
      <c r="O18" s="3"/>
      <c r="P18" s="2"/>
      <c r="Q18" s="2"/>
      <c r="R18" s="2"/>
      <c r="S18" s="3"/>
    </row>
    <row r="19" spans="1:19">
      <c r="A19" s="1416" t="s">
        <v>19</v>
      </c>
      <c r="B19" s="93">
        <f t="shared" ref="B19:G19" si="9">+B12/B6</f>
        <v>0.18032437758847564</v>
      </c>
      <c r="C19" s="93">
        <f t="shared" si="9"/>
        <v>0.30176463452463731</v>
      </c>
      <c r="D19" s="93">
        <f t="shared" si="9"/>
        <v>0.1751094360512449</v>
      </c>
      <c r="E19" s="93">
        <f t="shared" si="9"/>
        <v>0.21200182687205088</v>
      </c>
      <c r="F19" s="93">
        <f t="shared" si="9"/>
        <v>0.19688905404532139</v>
      </c>
      <c r="G19" s="93">
        <f t="shared" si="9"/>
        <v>0.16251877279901547</v>
      </c>
      <c r="H19" s="93">
        <f>+H12/H6</f>
        <v>0.1388247346350828</v>
      </c>
      <c r="I19" s="1418">
        <f>+I12/I6</f>
        <v>0.15027600035428931</v>
      </c>
      <c r="J19" s="5"/>
      <c r="K19" s="3" t="s">
        <v>20</v>
      </c>
      <c r="L19" s="3"/>
      <c r="M19" s="3"/>
      <c r="N19" s="3"/>
      <c r="O19" s="3"/>
      <c r="P19" s="9"/>
      <c r="Q19" s="9"/>
      <c r="R19" s="9"/>
      <c r="S19" s="3"/>
    </row>
    <row r="20" spans="1:19">
      <c r="A20" s="1416" t="s">
        <v>21</v>
      </c>
      <c r="B20" s="1419">
        <f>+B12/'Anexo 1 - Balance'!C229</f>
        <v>0.21328471309015992</v>
      </c>
      <c r="C20" s="1419">
        <f>+C12/'Anexo 1 - Balance'!D229</f>
        <v>0.31182068876856239</v>
      </c>
      <c r="D20" s="1419">
        <f>+D12/'Anexo 1 - Balance'!E229</f>
        <v>0.18454679358395956</v>
      </c>
      <c r="E20" s="1419">
        <f>+E12/'Anexo 1 - Balance'!F229</f>
        <v>0.27926444039508913</v>
      </c>
      <c r="F20" s="1419">
        <f>+F12/'Anexo 1 - Balance'!G229</f>
        <v>0.25679021277535902</v>
      </c>
      <c r="G20" s="1419">
        <f>+G12/'Anexo 1 - Balance'!H229</f>
        <v>0.48112121767753252</v>
      </c>
      <c r="H20" s="1419">
        <f>+H12/'Anexo 1 - Balance'!I229</f>
        <v>0.46047040819721252</v>
      </c>
      <c r="I20" s="1420">
        <f>+I12/'Anexo 1 - Balance'!J229</f>
        <v>0.48074819488062948</v>
      </c>
      <c r="J20" s="194"/>
      <c r="K20" s="3" t="s">
        <v>421</v>
      </c>
      <c r="L20" s="3"/>
      <c r="M20" s="3"/>
      <c r="N20" s="3"/>
      <c r="O20" s="3"/>
      <c r="P20" s="2"/>
      <c r="Q20" s="2"/>
      <c r="R20" s="2"/>
      <c r="S20" s="3"/>
    </row>
    <row r="21" spans="1:19" ht="15.75" thickBot="1">
      <c r="A21" s="1417" t="s">
        <v>22</v>
      </c>
      <c r="B21" s="1424">
        <f>+B10/'Anexo 1 - Balance'!C106</f>
        <v>0.19579403138256668</v>
      </c>
      <c r="C21" s="1424">
        <f>+C10/'Anexo 1 - Balance'!D106</f>
        <v>0.21669103078182045</v>
      </c>
      <c r="D21" s="1424">
        <f>+D10/'Anexo 1 - Balance'!E106</f>
        <v>0.20860594553489098</v>
      </c>
      <c r="E21" s="1424">
        <f>+E10/'Anexo 1 - Balance'!F106</f>
        <v>0.23250739934180212</v>
      </c>
      <c r="F21" s="1424">
        <f>+F10/'Anexo 1 - Balance'!G106</f>
        <v>0.18348158244445642</v>
      </c>
      <c r="G21" s="1424">
        <f>+G10/'Anexo 1 - Balance'!H106</f>
        <v>0.39150719601435752</v>
      </c>
      <c r="H21" s="1424">
        <f>+H10/'Anexo 1 - Balance'!I106</f>
        <v>0.24307096532132724</v>
      </c>
      <c r="I21" s="1425">
        <f>+I10/'Anexo 1 - Balance'!J106</f>
        <v>0.1332678022205083</v>
      </c>
      <c r="J21" s="194"/>
      <c r="K21" s="3" t="s">
        <v>23</v>
      </c>
      <c r="L21" s="3"/>
      <c r="M21" s="3"/>
      <c r="N21" s="3"/>
      <c r="O21" s="3"/>
      <c r="P21" s="3"/>
      <c r="Q21" s="3"/>
      <c r="R21" s="3"/>
      <c r="S21" s="3"/>
    </row>
    <row r="22" spans="1:19" ht="15.75" thickTop="1">
      <c r="A22" s="120"/>
      <c r="B22" s="5"/>
      <c r="C22" s="5"/>
      <c r="D22" s="5"/>
      <c r="E22" s="5"/>
      <c r="F22" s="5"/>
      <c r="G22" s="3"/>
      <c r="H22" s="3"/>
      <c r="I22" s="3"/>
      <c r="J22" s="3"/>
      <c r="K22" s="3"/>
      <c r="L22" s="3"/>
      <c r="M22" s="3"/>
      <c r="N22" s="3"/>
      <c r="O22" s="3"/>
      <c r="P22" s="3"/>
      <c r="Q22" s="3"/>
      <c r="R22" s="3"/>
      <c r="S22" s="3"/>
    </row>
    <row r="23" spans="1:19">
      <c r="A23" s="281" t="s">
        <v>10</v>
      </c>
      <c r="B23" s="3"/>
      <c r="C23" s="3"/>
      <c r="D23" s="3"/>
      <c r="E23" s="8"/>
      <c r="F23" s="3"/>
      <c r="G23" s="3"/>
      <c r="H23" s="3"/>
      <c r="I23" s="3"/>
      <c r="J23" s="3"/>
      <c r="K23" s="3"/>
      <c r="L23" s="3"/>
      <c r="M23" s="3"/>
      <c r="N23" s="3"/>
      <c r="O23" s="3"/>
      <c r="P23" s="3"/>
      <c r="Q23" s="3"/>
      <c r="R23" s="3"/>
      <c r="S23" s="3"/>
    </row>
    <row r="24" spans="1:19" s="17" customFormat="1">
      <c r="A24" s="4" t="s">
        <v>24</v>
      </c>
      <c r="B24" s="1426">
        <v>2007</v>
      </c>
      <c r="C24" s="1422">
        <v>2008</v>
      </c>
      <c r="D24" s="1422">
        <v>2009</v>
      </c>
      <c r="E24" s="1422">
        <v>2010</v>
      </c>
      <c r="F24" s="1422">
        <v>2011</v>
      </c>
      <c r="G24" s="1422">
        <v>2012</v>
      </c>
      <c r="H24" s="1422">
        <v>2013</v>
      </c>
      <c r="I24" s="1436">
        <v>2014</v>
      </c>
      <c r="J24" s="1427"/>
      <c r="K24" s="1428">
        <v>2007</v>
      </c>
      <c r="L24" s="1429">
        <v>2008</v>
      </c>
      <c r="M24" s="1429">
        <v>2009</v>
      </c>
      <c r="N24" s="1429">
        <v>2010</v>
      </c>
      <c r="O24" s="1429">
        <v>2011</v>
      </c>
      <c r="P24" s="1429">
        <v>2012</v>
      </c>
      <c r="Q24" s="1429">
        <v>2013</v>
      </c>
      <c r="R24" s="1430">
        <v>2014</v>
      </c>
      <c r="S24" s="4"/>
    </row>
    <row r="25" spans="1:19">
      <c r="A25" s="1415" t="s">
        <v>86</v>
      </c>
      <c r="B25" s="1434">
        <f>+'Anexo 1 - Balance'!C8</f>
        <v>6226.7349999999997</v>
      </c>
      <c r="C25" s="1434">
        <f>+'Anexo 1 - Balance'!D8</f>
        <v>10449.946</v>
      </c>
      <c r="D25" s="1434">
        <f>+'Anexo 1 - Balance'!E8</f>
        <v>8903.0879999999997</v>
      </c>
      <c r="E25" s="1434">
        <f>+'Anexo 1 - Balance'!F8</f>
        <v>11296.766</v>
      </c>
      <c r="F25" s="1434">
        <f>+'Anexo 1 - Balance'!G8</f>
        <v>7637.2430000000004</v>
      </c>
      <c r="G25" s="1434">
        <f>+'Anexo 1 - Balance'!H8</f>
        <v>7760.9030000000002</v>
      </c>
      <c r="H25" s="1434">
        <f>+'Anexo 1 - Balance'!I8</f>
        <v>11832</v>
      </c>
      <c r="I25" s="1435">
        <f>+'Anexo 1 - Balance'!J8</f>
        <v>7493.665</v>
      </c>
      <c r="J25" s="796"/>
      <c r="K25" s="776">
        <f t="shared" ref="K25:K32" si="10">+B25/$B$32</f>
        <v>8.2709348401784025E-2</v>
      </c>
      <c r="L25" s="551">
        <f>+C25/$C$32</f>
        <v>0.10936662820953336</v>
      </c>
      <c r="M25" s="551">
        <f>+D25/$D$32</f>
        <v>9.1643793944748919E-2</v>
      </c>
      <c r="N25" s="551">
        <f>+E25/$E$32</f>
        <v>0.11094228543347508</v>
      </c>
      <c r="O25" s="551">
        <f>+F25/$F$32</f>
        <v>7.1757925383433938E-2</v>
      </c>
      <c r="P25" s="551">
        <f>+G25/$G$32</f>
        <v>0.13755169352426147</v>
      </c>
      <c r="Q25" s="551">
        <f>+H25/$H$32</f>
        <v>0.15854639009487057</v>
      </c>
      <c r="R25" s="728">
        <f>+I25/$I$32</f>
        <v>7.7392076938144982E-2</v>
      </c>
      <c r="S25" s="3"/>
    </row>
    <row r="26" spans="1:19">
      <c r="A26" s="1416" t="s">
        <v>354</v>
      </c>
      <c r="B26" s="796">
        <f>+'Anexo 1 - Balance'!C9</f>
        <v>4493.3069999999998</v>
      </c>
      <c r="C26" s="796">
        <f>+'Anexo 1 - Balance'!D9</f>
        <v>0</v>
      </c>
      <c r="D26" s="796">
        <f>+'Anexo 1 - Balance'!E9</f>
        <v>0</v>
      </c>
      <c r="E26" s="796">
        <f>+'Anexo 1 - Balance'!F9</f>
        <v>0</v>
      </c>
      <c r="F26" s="796">
        <f>+'Anexo 1 - Balance'!G9</f>
        <v>0</v>
      </c>
      <c r="G26" s="796">
        <f>+'Anexo 1 - Balance'!H9</f>
        <v>0</v>
      </c>
      <c r="H26" s="796">
        <f>+'Anexo 1 - Balance'!I9</f>
        <v>0</v>
      </c>
      <c r="I26" s="797">
        <f>+'Anexo 1 - Balance'!J9</f>
        <v>0</v>
      </c>
      <c r="J26" s="796"/>
      <c r="K26" s="776">
        <f t="shared" si="10"/>
        <v>5.9684328004833184E-2</v>
      </c>
      <c r="L26" s="551">
        <f>+C26/$C$32</f>
        <v>0</v>
      </c>
      <c r="M26" s="551">
        <f>+D26/$D$32</f>
        <v>0</v>
      </c>
      <c r="N26" s="551">
        <f>+E26/$E$32</f>
        <v>0</v>
      </c>
      <c r="O26" s="551">
        <f>+F26/$F$32</f>
        <v>0</v>
      </c>
      <c r="P26" s="551">
        <f>+G26/$G$32</f>
        <v>0</v>
      </c>
      <c r="Q26" s="551">
        <f>+H26/$H$32</f>
        <v>0</v>
      </c>
      <c r="R26" s="728">
        <f>+I26/$I$32</f>
        <v>0</v>
      </c>
      <c r="S26" s="3"/>
    </row>
    <row r="27" spans="1:19">
      <c r="A27" s="1416" t="s">
        <v>1431</v>
      </c>
      <c r="B27" s="796">
        <f>+'Anexo 1 - Balance'!C31</f>
        <v>52546.419000000002</v>
      </c>
      <c r="C27" s="796">
        <f>+'Anexo 1 - Balance'!D31</f>
        <v>74267.982000000004</v>
      </c>
      <c r="D27" s="796">
        <f>+'Anexo 1 - Balance'!E31</f>
        <v>29225.924999999999</v>
      </c>
      <c r="E27" s="796">
        <f>+'Anexo 1 - Balance'!F31</f>
        <v>32478.819</v>
      </c>
      <c r="F27" s="796">
        <f>+'Anexo 1 - Balance'!G31</f>
        <v>36059.01</v>
      </c>
      <c r="G27" s="796">
        <f>+'Anexo 1 - Balance'!H31</f>
        <v>38908.821000000004</v>
      </c>
      <c r="H27" s="796">
        <f>+'Anexo 1 - Balance'!I31</f>
        <v>50547</v>
      </c>
      <c r="I27" s="797">
        <f>+'Anexo 1 - Balance'!J31</f>
        <v>78654.81</v>
      </c>
      <c r="J27" s="796"/>
      <c r="K27" s="776">
        <f t="shared" si="10"/>
        <v>0.69797093923815989</v>
      </c>
      <c r="L27" s="551">
        <f>+C27/$C$32</f>
        <v>0.77727088496594299</v>
      </c>
      <c r="M27" s="551">
        <f>+D27/$D$32</f>
        <v>0.30083659158987153</v>
      </c>
      <c r="N27" s="551">
        <f>+E27/$E$32</f>
        <v>0.31896512754536771</v>
      </c>
      <c r="O27" s="551">
        <f>+F27/$F$32</f>
        <v>0.3388028571279581</v>
      </c>
      <c r="P27" s="551">
        <f>+G27/$G$32</f>
        <v>0.68960715287671415</v>
      </c>
      <c r="Q27" s="551">
        <f>+H27/$H$32</f>
        <v>0.67731950474352787</v>
      </c>
      <c r="R27" s="728">
        <f>+I27/$I$32</f>
        <v>0.81232068781766675</v>
      </c>
      <c r="S27" s="3"/>
    </row>
    <row r="28" spans="1:19" s="64" customFormat="1">
      <c r="A28" s="1416" t="s">
        <v>301</v>
      </c>
      <c r="B28" s="796">
        <f>+'Anexo 1 - Balance'!C48</f>
        <v>0</v>
      </c>
      <c r="C28" s="796">
        <f>+'Anexo 1 - Balance'!D48</f>
        <v>0</v>
      </c>
      <c r="D28" s="796">
        <f>+'Anexo 1 - Balance'!E48</f>
        <v>0</v>
      </c>
      <c r="E28" s="796">
        <f>+'Anexo 1 - Balance'!F48</f>
        <v>0</v>
      </c>
      <c r="F28" s="796">
        <f>+'Anexo 1 - Balance'!G48</f>
        <v>0</v>
      </c>
      <c r="G28" s="796">
        <f>+'Anexo 1 - Balance'!H48</f>
        <v>0</v>
      </c>
      <c r="H28" s="796">
        <f>+'Anexo 1 - Balance'!I48</f>
        <v>0</v>
      </c>
      <c r="I28" s="797">
        <f>+'Anexo 1 - Balance'!J48</f>
        <v>0</v>
      </c>
      <c r="J28" s="796"/>
      <c r="K28" s="776">
        <f t="shared" si="10"/>
        <v>0</v>
      </c>
      <c r="L28" s="551">
        <f t="shared" ref="L28:R29" si="11">+C28/$B$32</f>
        <v>0</v>
      </c>
      <c r="M28" s="551">
        <f t="shared" si="11"/>
        <v>0</v>
      </c>
      <c r="N28" s="551">
        <f t="shared" si="11"/>
        <v>0</v>
      </c>
      <c r="O28" s="551">
        <f t="shared" si="11"/>
        <v>0</v>
      </c>
      <c r="P28" s="551">
        <f t="shared" si="11"/>
        <v>0</v>
      </c>
      <c r="Q28" s="551">
        <f t="shared" si="11"/>
        <v>0</v>
      </c>
      <c r="R28" s="728">
        <f t="shared" si="11"/>
        <v>0</v>
      </c>
      <c r="S28" s="3"/>
    </row>
    <row r="29" spans="1:19" s="64" customFormat="1">
      <c r="A29" s="1416" t="s">
        <v>351</v>
      </c>
      <c r="B29" s="796">
        <f>+'Anexo 1 - Balance'!C55</f>
        <v>1616.4680000000001</v>
      </c>
      <c r="C29" s="796">
        <f>+'Anexo 1 - Balance'!D55</f>
        <v>2495.2939999999999</v>
      </c>
      <c r="D29" s="796">
        <f>+'Anexo 1 - Balance'!E55</f>
        <v>2877.3119999999999</v>
      </c>
      <c r="E29" s="796">
        <f>+'Anexo 1 - Balance'!F55</f>
        <v>2499.5610000000001</v>
      </c>
      <c r="F29" s="796">
        <f>+'Anexo 1 - Balance'!G55</f>
        <v>2881.652</v>
      </c>
      <c r="G29" s="796">
        <f>+'Anexo 1 - Balance'!H55</f>
        <v>3277.19</v>
      </c>
      <c r="H29" s="796">
        <f>+'Anexo 1 - Balance'!I55</f>
        <v>3316</v>
      </c>
      <c r="I29" s="797">
        <f>+'Anexo 1 - Balance'!J55</f>
        <v>3019.8939999999998</v>
      </c>
      <c r="J29" s="796"/>
      <c r="K29" s="776">
        <f t="shared" si="10"/>
        <v>2.1471447715750713E-2</v>
      </c>
      <c r="L29" s="551">
        <f t="shared" si="11"/>
        <v>3.3144840885453011E-2</v>
      </c>
      <c r="M29" s="551">
        <f t="shared" si="11"/>
        <v>3.82191631197785E-2</v>
      </c>
      <c r="N29" s="551">
        <f t="shared" si="11"/>
        <v>3.320151919111889E-2</v>
      </c>
      <c r="O29" s="551">
        <f t="shared" si="11"/>
        <v>3.8276811080076113E-2</v>
      </c>
      <c r="P29" s="551">
        <f t="shared" si="11"/>
        <v>4.3530718665374807E-2</v>
      </c>
      <c r="Q29" s="551">
        <f t="shared" si="11"/>
        <v>4.4046229573013115E-2</v>
      </c>
      <c r="R29" s="728">
        <f t="shared" si="11"/>
        <v>4.01130712937771E-2</v>
      </c>
      <c r="S29" s="3"/>
    </row>
    <row r="30" spans="1:19">
      <c r="A30" s="1421" t="s">
        <v>26</v>
      </c>
      <c r="B30" s="1432">
        <f>SUM(B25:B29)</f>
        <v>64882.929000000004</v>
      </c>
      <c r="C30" s="1432">
        <f t="shared" ref="C30:I30" si="12">SUM(C25:C29)</f>
        <v>87213.221999999994</v>
      </c>
      <c r="D30" s="1432">
        <f t="shared" si="12"/>
        <v>41006.324999999997</v>
      </c>
      <c r="E30" s="1432">
        <f t="shared" si="12"/>
        <v>46275.146000000001</v>
      </c>
      <c r="F30" s="1432">
        <f t="shared" si="12"/>
        <v>46577.905000000006</v>
      </c>
      <c r="G30" s="1432">
        <f t="shared" si="12"/>
        <v>49946.914000000004</v>
      </c>
      <c r="H30" s="1432">
        <f t="shared" si="12"/>
        <v>65695</v>
      </c>
      <c r="I30" s="1433">
        <f t="shared" si="12"/>
        <v>89168.368999999992</v>
      </c>
      <c r="J30" s="796"/>
      <c r="K30" s="776">
        <f t="shared" si="10"/>
        <v>0.86183606336052787</v>
      </c>
      <c r="L30" s="551">
        <f>+C30/$C$32</f>
        <v>0.9127526616338012</v>
      </c>
      <c r="M30" s="551">
        <f>+D30/$D$32</f>
        <v>0.42209795059100913</v>
      </c>
      <c r="N30" s="551">
        <f>+E30/$E$32</f>
        <v>0.45445488168983339</v>
      </c>
      <c r="O30" s="551">
        <f>+F30/$F$32</f>
        <v>0.43763617728369714</v>
      </c>
      <c r="P30" s="551">
        <f>+G30/$G$32</f>
        <v>0.88524268464773304</v>
      </c>
      <c r="Q30" s="551">
        <f>+H30/$H$32</f>
        <v>0.88029961944578439</v>
      </c>
      <c r="R30" s="728">
        <f>+I30/$I$32</f>
        <v>0.92090122444716993</v>
      </c>
      <c r="S30" s="3"/>
    </row>
    <row r="31" spans="1:19">
      <c r="A31" s="1421" t="s">
        <v>27</v>
      </c>
      <c r="B31" s="1432">
        <f>+'Anexo 1 - Balance'!C105</f>
        <v>10401.608</v>
      </c>
      <c r="C31" s="1432">
        <f>+'Anexo 1 - Balance'!D105</f>
        <v>8336.4549999999999</v>
      </c>
      <c r="D31" s="1432">
        <f>+'Anexo 1 - Balance'!E105</f>
        <v>56142.512000000002</v>
      </c>
      <c r="E31" s="1432">
        <f>+'Anexo 1 - Balance'!F105</f>
        <v>55550.464999999997</v>
      </c>
      <c r="F31" s="1432">
        <f>+'Anexo 1 - Balance'!G105</f>
        <v>59852.75</v>
      </c>
      <c r="G31" s="1432">
        <f>+'Anexo 1 - Balance'!H105</f>
        <v>6474.8050000000003</v>
      </c>
      <c r="H31" s="1432">
        <f>+'Anexo 1 - Balance'!I105</f>
        <v>8934</v>
      </c>
      <c r="I31" s="1433">
        <f>+'Anexo 1 - Balance'!J105</f>
        <v>7658.92</v>
      </c>
      <c r="J31" s="796"/>
      <c r="K31" s="776">
        <f t="shared" si="10"/>
        <v>0.13816393663947221</v>
      </c>
      <c r="L31" s="551">
        <f>+C31/$C$32</f>
        <v>8.7247338366198773E-2</v>
      </c>
      <c r="M31" s="551">
        <f>+D31/$D$32</f>
        <v>0.57790204940899093</v>
      </c>
      <c r="N31" s="551">
        <f>+E31/$E$32</f>
        <v>0.5455451183101665</v>
      </c>
      <c r="O31" s="551">
        <f>+F31/$F$32</f>
        <v>0.56236382271630292</v>
      </c>
      <c r="P31" s="551">
        <f>+G31/$G$32</f>
        <v>0.1147573153522671</v>
      </c>
      <c r="Q31" s="551">
        <f>+H31/$H$32</f>
        <v>0.11971378035053867</v>
      </c>
      <c r="R31" s="728">
        <f>+I31/$I$32</f>
        <v>7.9098775552829945E-2</v>
      </c>
      <c r="S31" s="3"/>
    </row>
    <row r="32" spans="1:19">
      <c r="A32" s="1423" t="s">
        <v>28</v>
      </c>
      <c r="B32" s="1438">
        <f>+'Anexo 1 - Balance'!C106</f>
        <v>75284.536999999997</v>
      </c>
      <c r="C32" s="1438">
        <f>+'Anexo 1 - Balance'!D106</f>
        <v>95549.676999999996</v>
      </c>
      <c r="D32" s="1438">
        <f>+'Anexo 1 - Balance'!E106</f>
        <v>97148.837</v>
      </c>
      <c r="E32" s="1438">
        <f>+'Anexo 1 - Balance'!F106</f>
        <v>101825.611</v>
      </c>
      <c r="F32" s="1438">
        <f>+'Anexo 1 - Balance'!G106</f>
        <v>106430.655</v>
      </c>
      <c r="G32" s="1438">
        <f>+'Anexo 1 - Balance'!H106</f>
        <v>56421.718999999997</v>
      </c>
      <c r="H32" s="1438">
        <f>+'Anexo 1 - Balance'!I106</f>
        <v>74628</v>
      </c>
      <c r="I32" s="1439">
        <f>+'Anexo 1 - Balance'!J106</f>
        <v>96827.289000000004</v>
      </c>
      <c r="J32" s="796"/>
      <c r="K32" s="777">
        <f t="shared" si="10"/>
        <v>1</v>
      </c>
      <c r="L32" s="552">
        <f>+C32/$C$32</f>
        <v>1</v>
      </c>
      <c r="M32" s="552">
        <f>+D32/$D$32</f>
        <v>1</v>
      </c>
      <c r="N32" s="552">
        <f>+E32/$E$32</f>
        <v>1</v>
      </c>
      <c r="O32" s="552">
        <f>+F32/$F$32</f>
        <v>1</v>
      </c>
      <c r="P32" s="552">
        <f>+G32/$G$32</f>
        <v>1</v>
      </c>
      <c r="Q32" s="552">
        <f>+H32/$H$32</f>
        <v>1</v>
      </c>
      <c r="R32" s="729">
        <f>+I32/$I$32</f>
        <v>1</v>
      </c>
      <c r="S32" s="3"/>
    </row>
    <row r="33" spans="1:19">
      <c r="A33" s="120"/>
      <c r="B33" s="3"/>
      <c r="C33" s="3"/>
      <c r="D33" s="3"/>
      <c r="E33" s="3"/>
      <c r="F33" s="3"/>
      <c r="G33" s="3"/>
      <c r="H33" s="3"/>
      <c r="I33" s="3"/>
      <c r="J33" s="3"/>
      <c r="K33" s="3"/>
      <c r="L33" s="3"/>
      <c r="M33" s="3"/>
      <c r="N33" s="3"/>
      <c r="O33" s="3"/>
      <c r="P33" s="3"/>
      <c r="Q33" s="3"/>
      <c r="R33" s="3"/>
      <c r="S33" s="3"/>
    </row>
    <row r="34" spans="1:19">
      <c r="A34" s="4" t="s">
        <v>29</v>
      </c>
      <c r="B34" s="1437">
        <v>2007</v>
      </c>
      <c r="C34" s="1437">
        <v>2008</v>
      </c>
      <c r="D34" s="1431">
        <v>2009</v>
      </c>
      <c r="E34" s="1437">
        <v>2010</v>
      </c>
      <c r="F34" s="1437">
        <v>2011</v>
      </c>
      <c r="G34" s="1431">
        <v>2012</v>
      </c>
      <c r="H34" s="1437">
        <v>2013</v>
      </c>
      <c r="I34" s="1437">
        <v>2014</v>
      </c>
      <c r="J34" s="3"/>
      <c r="K34" s="3"/>
      <c r="L34" s="3"/>
      <c r="M34" s="3"/>
      <c r="N34" s="3"/>
      <c r="O34" s="3"/>
      <c r="P34" s="3"/>
      <c r="Q34" s="3"/>
      <c r="R34" s="3"/>
      <c r="S34" s="3"/>
    </row>
    <row r="35" spans="1:19">
      <c r="A35" s="1415" t="s">
        <v>30</v>
      </c>
      <c r="B35" s="1434">
        <f>+'Anexo 1 - Balance'!C108</f>
        <v>1925.1479999999999</v>
      </c>
      <c r="C35" s="1434">
        <f>+'Anexo 1 - Balance'!D108</f>
        <v>1173.1849999999999</v>
      </c>
      <c r="D35" s="1434">
        <f>+'Anexo 1 - Balance'!E108</f>
        <v>1164.989</v>
      </c>
      <c r="E35" s="1434">
        <f>+'Anexo 1 - Balance'!F108</f>
        <v>1120.731</v>
      </c>
      <c r="F35" s="1434">
        <f>+'Anexo 1 - Balance'!G108</f>
        <v>1028.635</v>
      </c>
      <c r="G35" s="1434">
        <f>+'Anexo 1 - Balance'!H108</f>
        <v>1871.0920000000001</v>
      </c>
      <c r="H35" s="1434">
        <f>+'Anexo 1 - Balance'!I108</f>
        <v>3811</v>
      </c>
      <c r="I35" s="1435">
        <f>+'Anexo 1 - Balance'!J108</f>
        <v>3100.7890000000002</v>
      </c>
      <c r="J35" s="51"/>
      <c r="K35" s="763">
        <f t="shared" ref="K35:K40" si="13">+B35/$B$48</f>
        <v>3.3365433901440887E-2</v>
      </c>
      <c r="L35" s="554">
        <f t="shared" ref="L35:L40" si="14">+C35/$C$48</f>
        <v>1.5946590038688101E-2</v>
      </c>
      <c r="M35" s="759">
        <f t="shared" ref="M35:M40" si="15">+D35/$D$48</f>
        <v>1.5368839266755122E-2</v>
      </c>
      <c r="N35" s="554">
        <f t="shared" ref="N35:N40" si="16">+E35/$E$48</f>
        <v>1.7214929679103354E-2</v>
      </c>
      <c r="O35" s="554">
        <f t="shared" ref="O35:O40" si="17">+F35/$F$48</f>
        <v>1.4719091560452226E-2</v>
      </c>
      <c r="P35" s="759">
        <f t="shared" ref="P35:P40" si="18">+G35/$G$48</f>
        <v>5.9864030547775018E-2</v>
      </c>
      <c r="Q35" s="554">
        <f t="shared" ref="Q35:Q40" si="19">+H35/$H$48</f>
        <v>0.1267797737857618</v>
      </c>
      <c r="R35" s="763">
        <f t="shared" ref="R35:R40" si="20">+I35/$I$48</f>
        <v>9.9278451719390232E-2</v>
      </c>
      <c r="S35" s="3"/>
    </row>
    <row r="36" spans="1:19" s="64" customFormat="1">
      <c r="A36" s="1416" t="s">
        <v>31</v>
      </c>
      <c r="B36" s="796">
        <f>+'Anexo 1 - Balance'!C107</f>
        <v>0</v>
      </c>
      <c r="C36" s="796">
        <f>+'Anexo 1 - Balance'!D107</f>
        <v>0</v>
      </c>
      <c r="D36" s="796">
        <f>+'Anexo 1 - Balance'!E107</f>
        <v>0</v>
      </c>
      <c r="E36" s="796">
        <f>+'Anexo 1 - Balance'!F107</f>
        <v>0</v>
      </c>
      <c r="F36" s="796">
        <f>+'Anexo 1 - Balance'!G107</f>
        <v>0</v>
      </c>
      <c r="G36" s="796">
        <f>+'Anexo 1 - Balance'!H107</f>
        <v>0</v>
      </c>
      <c r="H36" s="796">
        <f>+'Anexo 1 - Balance'!I107</f>
        <v>0</v>
      </c>
      <c r="I36" s="797">
        <f>+'Anexo 1 - Balance'!J107</f>
        <v>0</v>
      </c>
      <c r="J36" s="797"/>
      <c r="K36" s="764">
        <f t="shared" si="13"/>
        <v>0</v>
      </c>
      <c r="L36" s="555">
        <f t="shared" si="14"/>
        <v>0</v>
      </c>
      <c r="M36" s="760">
        <f t="shared" si="15"/>
        <v>0</v>
      </c>
      <c r="N36" s="555">
        <f t="shared" si="16"/>
        <v>0</v>
      </c>
      <c r="O36" s="555">
        <f t="shared" si="17"/>
        <v>0</v>
      </c>
      <c r="P36" s="760">
        <f t="shared" si="18"/>
        <v>0</v>
      </c>
      <c r="Q36" s="555">
        <f t="shared" si="19"/>
        <v>0</v>
      </c>
      <c r="R36" s="764">
        <f t="shared" si="20"/>
        <v>0</v>
      </c>
      <c r="S36" s="3"/>
    </row>
    <row r="37" spans="1:19">
      <c r="A37" s="1416" t="s">
        <v>84</v>
      </c>
      <c r="B37" s="796">
        <f>+'Anexo 1 - Balance'!C127</f>
        <v>3203.2130000000002</v>
      </c>
      <c r="C37" s="796">
        <f>+'Anexo 1 - Balance'!D127</f>
        <v>4028.9479999999999</v>
      </c>
      <c r="D37" s="796">
        <f>+'Anexo 1 - Balance'!E127</f>
        <v>4756.0510000000004</v>
      </c>
      <c r="E37" s="796">
        <f>+'Anexo 1 - Balance'!F127</f>
        <v>19011.383000000002</v>
      </c>
      <c r="F37" s="796">
        <f>+'Anexo 1 - Balance'!G127</f>
        <v>18790.452000000001</v>
      </c>
      <c r="G37" s="796">
        <f>+'Anexo 1 - Balance'!H127</f>
        <v>6157.18</v>
      </c>
      <c r="H37" s="796">
        <f>+'Anexo 1 - Balance'!I127</f>
        <v>23456</v>
      </c>
      <c r="I37" s="797">
        <f>+'Anexo 1 - Balance'!J127</f>
        <v>46494.622000000003</v>
      </c>
      <c r="J37" s="797"/>
      <c r="K37" s="764">
        <f t="shared" si="13"/>
        <v>5.5516039090883491E-2</v>
      </c>
      <c r="L37" s="555">
        <f t="shared" si="14"/>
        <v>5.4763726132871074E-2</v>
      </c>
      <c r="M37" s="760">
        <f t="shared" si="15"/>
        <v>6.2743067413932638E-2</v>
      </c>
      <c r="N37" s="555">
        <f t="shared" si="16"/>
        <v>0.29202335033786075</v>
      </c>
      <c r="O37" s="555">
        <f t="shared" si="17"/>
        <v>0.26887903235869154</v>
      </c>
      <c r="P37" s="760">
        <f t="shared" si="18"/>
        <v>0.19699384723367391</v>
      </c>
      <c r="Q37" s="555">
        <f t="shared" si="19"/>
        <v>0.78030605455755153</v>
      </c>
      <c r="R37" s="764">
        <f t="shared" si="20"/>
        <v>1.4886256644480804</v>
      </c>
      <c r="S37" s="3"/>
    </row>
    <row r="38" spans="1:19" s="37" customFormat="1">
      <c r="A38" s="1416" t="s">
        <v>304</v>
      </c>
      <c r="B38" s="796">
        <f>+'Anexo 1 - Balance'!C128</f>
        <v>2734.1559999999999</v>
      </c>
      <c r="C38" s="796">
        <f>+'Anexo 1 - Balance'!D128</f>
        <v>6733.8</v>
      </c>
      <c r="D38" s="796">
        <f>+'Anexo 1 - Balance'!E128</f>
        <v>3592.4949999999999</v>
      </c>
      <c r="E38" s="796">
        <f>+'Anexo 1 - Balance'!F128</f>
        <v>3579.42</v>
      </c>
      <c r="F38" s="796">
        <f>+'Anexo 1 - Balance'!G128</f>
        <v>3865.991</v>
      </c>
      <c r="G38" s="796">
        <f>+'Anexo 1 - Balance'!H128</f>
        <v>4070.431</v>
      </c>
      <c r="H38" s="796">
        <f>+'Anexo 1 - Balance'!I128</f>
        <v>4336</v>
      </c>
      <c r="I38" s="797">
        <f>+'Anexo 1 - Balance'!J128</f>
        <v>5001.5959999999995</v>
      </c>
      <c r="J38" s="797"/>
      <c r="K38" s="764">
        <f t="shared" si="13"/>
        <v>4.7386643153787662E-2</v>
      </c>
      <c r="L38" s="555">
        <f t="shared" si="14"/>
        <v>9.1529595078796558E-2</v>
      </c>
      <c r="M38" s="760">
        <f t="shared" si="15"/>
        <v>4.7393132657579974E-2</v>
      </c>
      <c r="N38" s="555">
        <f t="shared" si="16"/>
        <v>5.4981492964838244E-2</v>
      </c>
      <c r="O38" s="555">
        <f t="shared" si="17"/>
        <v>5.5319793221973064E-2</v>
      </c>
      <c r="P38" s="760">
        <f t="shared" si="18"/>
        <v>0.1302300505408662</v>
      </c>
      <c r="Q38" s="555">
        <f t="shared" si="19"/>
        <v>0.14424484364604126</v>
      </c>
      <c r="R38" s="764">
        <f t="shared" si="20"/>
        <v>0.1601368899998985</v>
      </c>
      <c r="S38" s="3"/>
    </row>
    <row r="39" spans="1:19" s="64" customFormat="1">
      <c r="A39" s="1416" t="s">
        <v>305</v>
      </c>
      <c r="B39" s="796">
        <f>+'Anexo 1 - Balance'!C129</f>
        <v>2162.9569999999999</v>
      </c>
      <c r="C39" s="796">
        <f>+'Anexo 1 - Balance'!D129</f>
        <v>2466.0500000000002</v>
      </c>
      <c r="D39" s="796">
        <f>+'Anexo 1 - Balance'!E129</f>
        <v>2866.3739999999998</v>
      </c>
      <c r="E39" s="796">
        <f>+'Anexo 1 - Balance'!F129</f>
        <v>3009.8159999999998</v>
      </c>
      <c r="F39" s="796">
        <f>+'Anexo 1 - Balance'!G129</f>
        <v>3144.3380000000002</v>
      </c>
      <c r="G39" s="796">
        <f>+'Anexo 1 - Balance'!H129</f>
        <v>3301.1880000000001</v>
      </c>
      <c r="H39" s="796">
        <f>+'Anexo 1 - Balance'!I129</f>
        <v>3760</v>
      </c>
      <c r="I39" s="797">
        <f>+'Anexo 1 - Balance'!J129</f>
        <v>4072.259</v>
      </c>
      <c r="J39" s="53"/>
      <c r="K39" s="765">
        <f t="shared" si="13"/>
        <v>3.7486987397934532E-2</v>
      </c>
      <c r="L39" s="556">
        <f t="shared" si="14"/>
        <v>3.3519937916787888E-2</v>
      </c>
      <c r="M39" s="761">
        <f t="shared" si="15"/>
        <v>3.7813954710650438E-2</v>
      </c>
      <c r="N39" s="556">
        <f t="shared" si="16"/>
        <v>4.6232120631123919E-2</v>
      </c>
      <c r="O39" s="556">
        <f t="shared" si="17"/>
        <v>4.4993412550622169E-2</v>
      </c>
      <c r="P39" s="761">
        <f t="shared" si="18"/>
        <v>0.1056187612773441</v>
      </c>
      <c r="Q39" s="556">
        <f t="shared" si="19"/>
        <v>0.12508316699933467</v>
      </c>
      <c r="R39" s="765">
        <f t="shared" si="20"/>
        <v>0.13038216032124481</v>
      </c>
      <c r="S39" s="3"/>
    </row>
    <row r="40" spans="1:19">
      <c r="A40" s="1423" t="s">
        <v>1187</v>
      </c>
      <c r="B40" s="1438">
        <f>+'Anexo 1 - Balance'!C157</f>
        <v>17585.662</v>
      </c>
      <c r="C40" s="1438">
        <f>+'Anexo 1 - Balance'!D157</f>
        <v>21980.03</v>
      </c>
      <c r="D40" s="1438">
        <f>+'Anexo 1 - Balance'!E157</f>
        <v>21346.821</v>
      </c>
      <c r="E40" s="1438">
        <f>+'Anexo 1 - Balance'!F157</f>
        <v>36723.341</v>
      </c>
      <c r="F40" s="1438">
        <f>+'Anexo 1 - Balance'!G157</f>
        <v>36546.247000000003</v>
      </c>
      <c r="G40" s="1438">
        <f>+'Anexo 1 - Balance'!H157</f>
        <v>23889.449000000001</v>
      </c>
      <c r="H40" s="1438">
        <f>+'Anexo 1 - Balance'!I157</f>
        <v>44286</v>
      </c>
      <c r="I40" s="1439">
        <f>+'Anexo 1 - Balance'!J157</f>
        <v>65594.035999999993</v>
      </c>
      <c r="J40" s="797"/>
      <c r="K40" s="764">
        <f t="shared" si="13"/>
        <v>0.30478344681763725</v>
      </c>
      <c r="L40" s="555">
        <f t="shared" si="14"/>
        <v>0.29876492407255945</v>
      </c>
      <c r="M40" s="760">
        <f t="shared" si="15"/>
        <v>0.28161283995401915</v>
      </c>
      <c r="N40" s="555">
        <f t="shared" si="16"/>
        <v>0.56408695119233165</v>
      </c>
      <c r="O40" s="555">
        <f t="shared" si="17"/>
        <v>0.52295280229031926</v>
      </c>
      <c r="P40" s="760">
        <f t="shared" si="18"/>
        <v>0.76432302885454773</v>
      </c>
      <c r="Q40" s="555">
        <f t="shared" si="19"/>
        <v>1.473253493013972</v>
      </c>
      <c r="R40" s="764">
        <f t="shared" si="20"/>
        <v>2.1001346225447599</v>
      </c>
      <c r="S40" s="11"/>
    </row>
    <row r="41" spans="1:19">
      <c r="A41" s="3"/>
      <c r="B41" s="796"/>
      <c r="C41" s="796"/>
      <c r="D41" s="796"/>
      <c r="E41" s="796"/>
      <c r="F41" s="796"/>
      <c r="G41" s="796"/>
      <c r="H41" s="796"/>
      <c r="I41" s="796"/>
      <c r="J41" s="796"/>
      <c r="K41" s="1442"/>
      <c r="L41" s="1442"/>
      <c r="M41" s="1442"/>
      <c r="N41" s="1442"/>
      <c r="O41" s="1442"/>
      <c r="P41" s="1442"/>
      <c r="Q41" s="1442"/>
      <c r="R41" s="1442"/>
      <c r="S41" s="3"/>
    </row>
    <row r="42" spans="1:19" s="64" customFormat="1">
      <c r="A42" s="1410" t="s">
        <v>324</v>
      </c>
      <c r="B42" s="1437">
        <v>2007</v>
      </c>
      <c r="C42" s="1437">
        <v>2008</v>
      </c>
      <c r="D42" s="1431">
        <v>2009</v>
      </c>
      <c r="E42" s="1437">
        <v>2010</v>
      </c>
      <c r="F42" s="1437">
        <v>2011</v>
      </c>
      <c r="G42" s="1431">
        <v>2012</v>
      </c>
      <c r="H42" s="1437">
        <v>2013</v>
      </c>
      <c r="I42" s="1437">
        <v>2014</v>
      </c>
      <c r="J42" s="796"/>
      <c r="K42" s="1442"/>
      <c r="L42" s="1442"/>
      <c r="M42" s="1442"/>
      <c r="N42" s="1442"/>
      <c r="O42" s="1442"/>
      <c r="P42" s="1442"/>
      <c r="Q42" s="1442"/>
      <c r="R42" s="1442"/>
      <c r="S42" s="3"/>
    </row>
    <row r="43" spans="1:19">
      <c r="A43" s="1411" t="s">
        <v>33</v>
      </c>
      <c r="B43" s="48">
        <f>+'Anexo 1 - Balance'!C214</f>
        <v>7699.7690000000002</v>
      </c>
      <c r="C43" s="48">
        <f>+'Anexo 1 - Balance'!D214</f>
        <v>7699.7690000000002</v>
      </c>
      <c r="D43" s="48">
        <f>+'Anexo 1 - Balance'!E214</f>
        <v>7699.7690000000002</v>
      </c>
      <c r="E43" s="48">
        <f>+'Anexo 1 - Balance'!F214</f>
        <v>7699.7690000000002</v>
      </c>
      <c r="F43" s="553">
        <f>+'Anexo 1 - Balance'!G214</f>
        <v>7699.7690000000002</v>
      </c>
      <c r="G43" s="553">
        <f>+'Anexo 1 - Balance'!H214</f>
        <v>7699.7690000000002</v>
      </c>
      <c r="H43" s="553">
        <f>+'Anexo 1 - Balance'!I214</f>
        <v>7700</v>
      </c>
      <c r="I43" s="48">
        <f>+'Anexo 1 - Balance'!J214</f>
        <v>7699.7690000000002</v>
      </c>
      <c r="J43" s="797"/>
      <c r="K43" s="554">
        <f t="shared" ref="K43:K48" si="21">+B43/$B$48</f>
        <v>0.13344747189611583</v>
      </c>
      <c r="L43" s="554">
        <f>+C43/$C$48</f>
        <v>0.10465958875675999</v>
      </c>
      <c r="M43" s="759">
        <f>+D43/$D$48</f>
        <v>0.10157736438038799</v>
      </c>
      <c r="N43" s="554">
        <f>+E43/$E$48</f>
        <v>0.11827189743153349</v>
      </c>
      <c r="O43" s="554">
        <f>+F43/$F$48</f>
        <v>0.11017863956148846</v>
      </c>
      <c r="P43" s="759">
        <f>+G43/$G$48</f>
        <v>0.24634769782929494</v>
      </c>
      <c r="Q43" s="554">
        <f>+H43/$H$48</f>
        <v>0.25615435795076513</v>
      </c>
      <c r="R43" s="1443">
        <f>+I43/$I$48</f>
        <v>0.24652472158439598</v>
      </c>
      <c r="S43" s="3"/>
    </row>
    <row r="44" spans="1:19" s="64" customFormat="1">
      <c r="A44" s="1413" t="s">
        <v>1432</v>
      </c>
      <c r="B44" s="48">
        <f>+'Anexo 1 - Balance'!C221</f>
        <v>26736.687000000002</v>
      </c>
      <c r="C44" s="48">
        <f>+'Anexo 1 - Balance'!D221</f>
        <v>32040.596000000001</v>
      </c>
      <c r="D44" s="48">
        <f>+'Anexo 1 - Balance'!E221</f>
        <v>43925.756000000001</v>
      </c>
      <c r="E44" s="48">
        <f>+'Anexo 1 - Balance'!F221</f>
        <v>29806.920999999998</v>
      </c>
      <c r="F44" s="553">
        <f>+'Anexo 1 - Balance'!G221</f>
        <v>36100.748</v>
      </c>
      <c r="G44" s="553">
        <f>+'Anexo 1 - Balance'!H221</f>
        <v>4209.607</v>
      </c>
      <c r="H44" s="553">
        <f>+'Anexo 1 - Balance'!I221</f>
        <v>4210</v>
      </c>
      <c r="I44" s="48">
        <f>+'Anexo 1 - Balance'!J221</f>
        <v>4209.607</v>
      </c>
      <c r="J44" s="797"/>
      <c r="K44" s="764">
        <f t="shared" si="21"/>
        <v>0.46338315955033788</v>
      </c>
      <c r="L44" s="555">
        <f t="shared" ref="L44:R46" si="22">+C44/$B$48</f>
        <v>0.55530711820637757</v>
      </c>
      <c r="M44" s="760">
        <f t="shared" si="22"/>
        <v>0.76129311013429635</v>
      </c>
      <c r="N44" s="555">
        <f t="shared" si="22"/>
        <v>0.51659449166036597</v>
      </c>
      <c r="O44" s="555">
        <f t="shared" si="22"/>
        <v>0.62567507598718342</v>
      </c>
      <c r="P44" s="760">
        <f t="shared" si="22"/>
        <v>7.295821625638281E-2</v>
      </c>
      <c r="Q44" s="555">
        <f t="shared" si="22"/>
        <v>7.2965027481038405E-2</v>
      </c>
      <c r="R44" s="764">
        <f t="shared" si="22"/>
        <v>7.295821625638281E-2</v>
      </c>
      <c r="S44" s="3"/>
    </row>
    <row r="45" spans="1:19" s="64" customFormat="1">
      <c r="A45" s="1413" t="s">
        <v>1433</v>
      </c>
      <c r="B45" s="48">
        <f>+'Anexo 1 - Balance'!C222</f>
        <v>10858.612999999999</v>
      </c>
      <c r="C45" s="48">
        <f>+'Anexo 1 - Balance'!D222</f>
        <v>10858.612999999999</v>
      </c>
      <c r="D45" s="48">
        <f>+'Anexo 1 - Balance'!E222</f>
        <v>10136.722</v>
      </c>
      <c r="E45" s="48">
        <f>+'Anexo 1 - Balance'!F222</f>
        <v>9414.8310000000001</v>
      </c>
      <c r="F45" s="553">
        <f>+'Anexo 1 - Balance'!G222</f>
        <v>8138.259</v>
      </c>
      <c r="G45" s="553">
        <f>+'Anexo 1 - Balance'!H222</f>
        <v>4308.5420000000004</v>
      </c>
      <c r="H45" s="553">
        <f>+'Anexo 1 - Balance'!I222</f>
        <v>4309</v>
      </c>
      <c r="I45" s="48">
        <f>+'Anexo 1 - Balance'!J222</f>
        <v>4308.5420000000004</v>
      </c>
      <c r="J45" s="797"/>
      <c r="K45" s="764">
        <f t="shared" si="21"/>
        <v>0.18819453585533513</v>
      </c>
      <c r="L45" s="555">
        <f t="shared" si="22"/>
        <v>0.18819453585533513</v>
      </c>
      <c r="M45" s="760">
        <f t="shared" si="22"/>
        <v>0.17568318273103245</v>
      </c>
      <c r="N45" s="555">
        <f t="shared" si="22"/>
        <v>0.16317182960672977</v>
      </c>
      <c r="O45" s="555">
        <f t="shared" si="22"/>
        <v>0.14104710013843424</v>
      </c>
      <c r="P45" s="760">
        <f t="shared" si="22"/>
        <v>7.4672894402187218E-2</v>
      </c>
      <c r="Q45" s="555">
        <f t="shared" si="22"/>
        <v>7.4680832165271854E-2</v>
      </c>
      <c r="R45" s="764">
        <f t="shared" si="22"/>
        <v>7.4672894402187218E-2</v>
      </c>
      <c r="S45" s="3"/>
    </row>
    <row r="46" spans="1:19" s="64" customFormat="1">
      <c r="A46" s="1413" t="s">
        <v>1434</v>
      </c>
      <c r="B46" s="48">
        <f>+'Anexo 1 - Balance'!C228</f>
        <v>97.518000000000001</v>
      </c>
      <c r="C46" s="48">
        <f>+'Anexo 1 - Balance'!D228</f>
        <v>30.131</v>
      </c>
      <c r="D46" s="48">
        <f>+'Anexo 1 - Balance'!E228</f>
        <v>50.75</v>
      </c>
      <c r="E46" s="48">
        <f>+'Anexo 1 - Balance'!F228</f>
        <v>0</v>
      </c>
      <c r="F46" s="553">
        <f>+'Anexo 1 - Balance'!G228</f>
        <v>0</v>
      </c>
      <c r="G46" s="553">
        <f>+'Anexo 1 - Balance'!H228</f>
        <v>0</v>
      </c>
      <c r="H46" s="553">
        <f>+'Anexo 1 - Balance'!I228</f>
        <v>0</v>
      </c>
      <c r="I46" s="48">
        <f>+'Anexo 1 - Balance'!J228</f>
        <v>0</v>
      </c>
      <c r="J46" s="797"/>
      <c r="K46" s="764">
        <f t="shared" si="21"/>
        <v>1.6901196080512835E-3</v>
      </c>
      <c r="L46" s="555">
        <f t="shared" si="22"/>
        <v>5.2221122162260532E-4</v>
      </c>
      <c r="M46" s="760">
        <f t="shared" si="22"/>
        <v>8.7956654267522542E-4</v>
      </c>
      <c r="N46" s="555">
        <f t="shared" si="22"/>
        <v>0</v>
      </c>
      <c r="O46" s="555">
        <f t="shared" si="22"/>
        <v>0</v>
      </c>
      <c r="P46" s="760">
        <f t="shared" si="22"/>
        <v>0</v>
      </c>
      <c r="Q46" s="555">
        <f t="shared" si="22"/>
        <v>0</v>
      </c>
      <c r="R46" s="764">
        <f t="shared" si="22"/>
        <v>0</v>
      </c>
      <c r="S46" s="3"/>
    </row>
    <row r="47" spans="1:19">
      <c r="A47" s="1412" t="s">
        <v>34</v>
      </c>
      <c r="B47" s="49">
        <f>+'Anexo 1 - Balance'!C224</f>
        <v>12306.288</v>
      </c>
      <c r="C47" s="49">
        <f>+'Anexo 1 - Balance'!D224</f>
        <v>22940.538</v>
      </c>
      <c r="D47" s="49">
        <f>+'Anexo 1 - Balance'!E224</f>
        <v>13989.019</v>
      </c>
      <c r="E47" s="49">
        <f>+'Anexo 1 - Balance'!F224</f>
        <v>18180.749</v>
      </c>
      <c r="F47" s="558">
        <f>+'Anexo 1 - Balance'!G224</f>
        <v>17945.632000000001</v>
      </c>
      <c r="G47" s="558">
        <f>+'Anexo 1 - Balance'!H224</f>
        <v>15037.779</v>
      </c>
      <c r="H47" s="558">
        <f>+'Anexo 1 - Balance'!I224</f>
        <v>13841</v>
      </c>
      <c r="I47" s="49">
        <f>+'Anexo 1 - Balance'!J224</f>
        <v>15015.334999999999</v>
      </c>
      <c r="J47" s="53"/>
      <c r="K47" s="765">
        <f t="shared" si="21"/>
        <v>0.21328471309015992</v>
      </c>
      <c r="L47" s="556">
        <f>+C47/$C$48</f>
        <v>0.31182068876856239</v>
      </c>
      <c r="M47" s="761">
        <f>+D47/$D$48</f>
        <v>0.18454679358395956</v>
      </c>
      <c r="N47" s="556">
        <f>+E47/$E$48</f>
        <v>0.27926444039508913</v>
      </c>
      <c r="O47" s="556">
        <f>+F47/$F$48</f>
        <v>0.25679021277535902</v>
      </c>
      <c r="P47" s="761">
        <f>+G47/$G$48</f>
        <v>0.48112121767753252</v>
      </c>
      <c r="Q47" s="556">
        <f>+H47/$H$48</f>
        <v>0.46044577511643381</v>
      </c>
      <c r="R47" s="765">
        <f>+I47/$I$48</f>
        <v>0.48074835496641988</v>
      </c>
      <c r="S47" s="3"/>
    </row>
    <row r="48" spans="1:19">
      <c r="A48" s="772" t="s">
        <v>1186</v>
      </c>
      <c r="B48" s="1440">
        <f>SUM(B43:B47)</f>
        <v>57698.875</v>
      </c>
      <c r="C48" s="1440">
        <f t="shared" ref="C48:I48" si="23">SUM(C43:C47)</f>
        <v>73569.646999999997</v>
      </c>
      <c r="D48" s="1440">
        <f t="shared" si="23"/>
        <v>75802.016000000003</v>
      </c>
      <c r="E48" s="1440">
        <f t="shared" si="23"/>
        <v>65102.270000000004</v>
      </c>
      <c r="F48" s="1441">
        <f t="shared" si="23"/>
        <v>69884.407999999996</v>
      </c>
      <c r="G48" s="1441">
        <f t="shared" si="23"/>
        <v>31255.697</v>
      </c>
      <c r="H48" s="1441">
        <f t="shared" si="23"/>
        <v>30060</v>
      </c>
      <c r="I48" s="1440">
        <f t="shared" si="23"/>
        <v>31233.253000000001</v>
      </c>
      <c r="J48" s="798"/>
      <c r="K48" s="773">
        <f t="shared" si="21"/>
        <v>1</v>
      </c>
      <c r="L48" s="557">
        <f>+C48/$C$48</f>
        <v>1</v>
      </c>
      <c r="M48" s="762">
        <f>+D48/$D$48</f>
        <v>1</v>
      </c>
      <c r="N48" s="557">
        <f>+E48/$E$48</f>
        <v>1</v>
      </c>
      <c r="O48" s="557">
        <f>+F48/$F$48</f>
        <v>1</v>
      </c>
      <c r="P48" s="762">
        <f>+G48/$G$48</f>
        <v>1</v>
      </c>
      <c r="Q48" s="556">
        <f>+H48/$H$48</f>
        <v>1</v>
      </c>
      <c r="R48" s="765">
        <f>+I48/$I$48</f>
        <v>1</v>
      </c>
      <c r="S48" s="3"/>
    </row>
    <row r="49" spans="1:19" ht="15.75" thickBot="1">
      <c r="A49" s="120"/>
      <c r="B49" s="3"/>
      <c r="C49" s="3"/>
      <c r="D49" s="3"/>
      <c r="E49" s="3"/>
      <c r="F49" s="3"/>
      <c r="G49" s="3"/>
      <c r="H49" s="3"/>
      <c r="I49" s="3"/>
      <c r="J49" s="3"/>
      <c r="K49" s="3"/>
      <c r="L49" s="3"/>
      <c r="M49" s="3"/>
      <c r="N49" s="3"/>
      <c r="O49" s="3"/>
      <c r="P49" s="3"/>
      <c r="Q49" s="3"/>
      <c r="R49" s="3"/>
      <c r="S49" s="3"/>
    </row>
    <row r="50" spans="1:19" ht="15.75" thickBot="1">
      <c r="A50" s="123" t="s">
        <v>35</v>
      </c>
      <c r="B50" s="3"/>
      <c r="C50" s="3"/>
      <c r="D50" s="3"/>
      <c r="E50" s="3"/>
      <c r="F50" s="3"/>
      <c r="G50" s="3"/>
      <c r="H50" s="3"/>
      <c r="I50" s="3"/>
      <c r="J50" s="3"/>
      <c r="K50" s="368" t="s">
        <v>61</v>
      </c>
      <c r="L50" s="3"/>
      <c r="M50" s="3"/>
      <c r="N50" s="783" t="s">
        <v>928</v>
      </c>
      <c r="O50" s="3"/>
      <c r="P50" s="3"/>
      <c r="Q50" s="3"/>
      <c r="R50" s="3"/>
      <c r="S50" s="3"/>
    </row>
    <row r="51" spans="1:19">
      <c r="A51" s="120" t="s">
        <v>36</v>
      </c>
      <c r="B51" s="10">
        <f t="shared" ref="B51:I51" si="24">+B26/(B6/360)</f>
        <v>23.702598518092426</v>
      </c>
      <c r="C51" s="10">
        <f t="shared" si="24"/>
        <v>0</v>
      </c>
      <c r="D51" s="10">
        <f t="shared" si="24"/>
        <v>0</v>
      </c>
      <c r="E51" s="10">
        <f t="shared" si="24"/>
        <v>0</v>
      </c>
      <c r="F51" s="10">
        <f t="shared" si="24"/>
        <v>0</v>
      </c>
      <c r="G51" s="10">
        <f t="shared" si="24"/>
        <v>0</v>
      </c>
      <c r="H51" s="10">
        <f t="shared" si="24"/>
        <v>0</v>
      </c>
      <c r="I51" s="10">
        <f t="shared" si="24"/>
        <v>0</v>
      </c>
      <c r="J51" s="10"/>
      <c r="K51" s="730">
        <f>AVERAGE(B51:I51)</f>
        <v>2.9628248147615532</v>
      </c>
      <c r="L51" s="3"/>
      <c r="M51" s="3"/>
      <c r="N51" s="780">
        <f>+AVERAGE(E51:I51)</f>
        <v>0</v>
      </c>
      <c r="O51" s="3">
        <f>+STDEV(B51:I51)</f>
        <v>8.3801340719426829</v>
      </c>
      <c r="P51" s="3"/>
      <c r="Q51" s="3"/>
      <c r="R51" s="3"/>
      <c r="S51" s="3"/>
    </row>
    <row r="52" spans="1:19">
      <c r="A52" s="120" t="s">
        <v>37</v>
      </c>
      <c r="B52" s="10">
        <f t="shared" ref="B52:I52" si="25">+B27/(B167)</f>
        <v>601.28426517661273</v>
      </c>
      <c r="C52" s="10">
        <f t="shared" si="25"/>
        <v>924.74385194233241</v>
      </c>
      <c r="D52" s="10">
        <f t="shared" si="25"/>
        <v>373.42640410592071</v>
      </c>
      <c r="E52" s="10">
        <f t="shared" si="25"/>
        <v>399.80765395794151</v>
      </c>
      <c r="F52" s="10">
        <f t="shared" si="25"/>
        <v>373.28032455368958</v>
      </c>
      <c r="G52" s="10">
        <f t="shared" si="25"/>
        <v>424.54235532067628</v>
      </c>
      <c r="H52" s="10">
        <f t="shared" si="25"/>
        <v>511.88232140229997</v>
      </c>
      <c r="I52" s="10">
        <f t="shared" si="25"/>
        <v>747.89185522835919</v>
      </c>
      <c r="J52" s="10"/>
      <c r="K52" s="730">
        <f>AVERAGE(B52:I52)</f>
        <v>544.60737896097908</v>
      </c>
      <c r="L52" s="3"/>
      <c r="M52" s="3"/>
      <c r="N52" s="781">
        <f>+AVERAGE(E52:I52)</f>
        <v>491.48090209259334</v>
      </c>
      <c r="O52" s="3">
        <f>+STDEV(B52:I52)</f>
        <v>201.47668110096984</v>
      </c>
      <c r="P52" s="3"/>
      <c r="Q52" s="3"/>
      <c r="R52" s="3"/>
      <c r="S52" s="3"/>
    </row>
    <row r="53" spans="1:19" ht="15.75" thickBot="1">
      <c r="A53" s="120" t="s">
        <v>38</v>
      </c>
      <c r="B53" s="11">
        <f t="shared" ref="B53:I53" si="26">+B35/B61</f>
        <v>8.2499535663313299</v>
      </c>
      <c r="C53" s="11">
        <f t="shared" si="26"/>
        <v>8.3411882541457167</v>
      </c>
      <c r="D53" s="11">
        <f t="shared" si="26"/>
        <v>-24.864976389610469</v>
      </c>
      <c r="E53" s="11">
        <f t="shared" si="26"/>
        <v>12.415055572524176</v>
      </c>
      <c r="F53" s="11">
        <f t="shared" si="26"/>
        <v>9.6544357999752695</v>
      </c>
      <c r="G53" s="11">
        <f t="shared" si="26"/>
        <v>18.792668630561515</v>
      </c>
      <c r="H53" s="11">
        <f t="shared" si="26"/>
        <v>29.074828307815366</v>
      </c>
      <c r="I53" s="11">
        <f t="shared" si="26"/>
        <v>16.921460441598374</v>
      </c>
      <c r="J53" s="11"/>
      <c r="K53" s="730">
        <f>AVERAGE(B53:I53)</f>
        <v>9.8230767729176591</v>
      </c>
      <c r="L53" s="3"/>
      <c r="M53" s="3"/>
      <c r="N53" s="782">
        <f>+AVERAGE(E53:I53)</f>
        <v>17.371689750494941</v>
      </c>
      <c r="O53" s="3">
        <f>+STDEV(B53:I53)</f>
        <v>15.657718782253104</v>
      </c>
      <c r="P53" s="3"/>
      <c r="Q53" s="3"/>
      <c r="R53" s="3"/>
      <c r="S53" s="3"/>
    </row>
    <row r="54" spans="1:19">
      <c r="A54" s="120"/>
      <c r="B54" s="11"/>
      <c r="C54" s="11"/>
      <c r="D54" s="11"/>
      <c r="E54" s="11"/>
      <c r="F54" s="11"/>
      <c r="G54" s="3"/>
      <c r="H54" s="3"/>
      <c r="I54" s="3"/>
      <c r="J54" s="3"/>
      <c r="K54" s="11"/>
      <c r="L54" s="3"/>
      <c r="M54" s="3"/>
      <c r="N54" s="10"/>
      <c r="O54" s="3"/>
      <c r="P54" s="3"/>
      <c r="Q54" s="3"/>
      <c r="R54" s="3"/>
      <c r="S54" s="3"/>
    </row>
    <row r="55" spans="1:19">
      <c r="A55" s="281" t="s">
        <v>10</v>
      </c>
      <c r="B55" s="3"/>
      <c r="C55" s="3"/>
      <c r="D55" s="3"/>
      <c r="E55" s="3"/>
      <c r="F55" s="3"/>
      <c r="G55" s="3"/>
      <c r="H55" s="3"/>
      <c r="I55" s="3"/>
      <c r="J55" s="3"/>
      <c r="K55" s="3"/>
      <c r="L55" s="3"/>
      <c r="M55" s="3"/>
      <c r="N55" s="3"/>
      <c r="O55" s="3"/>
      <c r="P55" s="3"/>
      <c r="Q55" s="3"/>
      <c r="R55" s="3"/>
      <c r="S55" s="3"/>
    </row>
    <row r="56" spans="1:19" ht="15.75" thickBot="1">
      <c r="A56" s="123" t="s">
        <v>48</v>
      </c>
      <c r="B56" s="3"/>
      <c r="C56" s="3"/>
      <c r="D56" s="3"/>
      <c r="E56" s="3"/>
      <c r="F56" s="3"/>
      <c r="G56" s="3"/>
      <c r="H56" s="3"/>
      <c r="I56" s="3"/>
      <c r="J56" s="3"/>
      <c r="K56" s="3"/>
      <c r="L56" s="3"/>
      <c r="M56" s="3"/>
      <c r="N56" s="3"/>
      <c r="O56" s="3"/>
      <c r="P56" s="3"/>
      <c r="Q56" s="3"/>
      <c r="R56" s="3"/>
      <c r="S56" s="3"/>
    </row>
    <row r="57" spans="1:19">
      <c r="A57" s="125" t="s">
        <v>47</v>
      </c>
      <c r="B57" s="46">
        <f>+'Anexo 1 - Balance'!B48</f>
        <v>0</v>
      </c>
      <c r="C57" s="46">
        <f t="shared" ref="C57:I57" si="27">+B59</f>
        <v>52546.419000000002</v>
      </c>
      <c r="D57" s="46">
        <f t="shared" si="27"/>
        <v>74267.982000000004</v>
      </c>
      <c r="E57" s="46">
        <f t="shared" si="27"/>
        <v>29225.924999999999</v>
      </c>
      <c r="F57" s="46">
        <f t="shared" si="27"/>
        <v>32478.819</v>
      </c>
      <c r="G57" s="46">
        <f t="shared" si="27"/>
        <v>36059.01</v>
      </c>
      <c r="H57" s="46">
        <f t="shared" si="27"/>
        <v>38908.821000000004</v>
      </c>
      <c r="I57" s="46">
        <f t="shared" si="27"/>
        <v>50547</v>
      </c>
      <c r="J57" s="46"/>
      <c r="K57" s="46">
        <f>+I59</f>
        <v>78654.81</v>
      </c>
      <c r="L57" s="3"/>
      <c r="M57" s="3"/>
      <c r="N57" s="3"/>
      <c r="O57" s="3"/>
      <c r="P57" s="3"/>
      <c r="Q57" s="3"/>
      <c r="R57" s="3"/>
      <c r="S57" s="3"/>
    </row>
    <row r="58" spans="1:19" ht="14.25" customHeight="1">
      <c r="A58" s="125" t="s">
        <v>48</v>
      </c>
      <c r="B58" s="46">
        <f t="shared" ref="B58:I58" si="28">+B60-B57+B59</f>
        <v>84006.930999999997</v>
      </c>
      <c r="C58" s="46">
        <f t="shared" si="28"/>
        <v>50633.865000000005</v>
      </c>
      <c r="D58" s="46">
        <f t="shared" si="28"/>
        <v>-16866.939000000002</v>
      </c>
      <c r="E58" s="46">
        <f t="shared" si="28"/>
        <v>32497.894</v>
      </c>
      <c r="F58" s="46">
        <f t="shared" si="28"/>
        <v>38356.316999999995</v>
      </c>
      <c r="G58" s="46">
        <f t="shared" si="28"/>
        <v>35843.399000000005</v>
      </c>
      <c r="H58" s="46">
        <f t="shared" si="28"/>
        <v>47187.208999999995</v>
      </c>
      <c r="I58" s="46">
        <f t="shared" si="28"/>
        <v>65968.540000000008</v>
      </c>
      <c r="J58" s="46"/>
      <c r="K58" s="46">
        <f>+K60-K57+K59</f>
        <v>-78653.651037310454</v>
      </c>
      <c r="L58" s="3"/>
      <c r="M58" s="3"/>
      <c r="N58" s="3"/>
      <c r="O58" s="3"/>
      <c r="P58" s="3"/>
      <c r="Q58" s="3"/>
      <c r="R58" s="3"/>
      <c r="S58" s="3"/>
    </row>
    <row r="59" spans="1:19">
      <c r="A59" s="125" t="s">
        <v>49</v>
      </c>
      <c r="B59" s="46">
        <f t="shared" ref="B59:I59" si="29">+B27</f>
        <v>52546.419000000002</v>
      </c>
      <c r="C59" s="46">
        <f t="shared" si="29"/>
        <v>74267.982000000004</v>
      </c>
      <c r="D59" s="46">
        <f t="shared" si="29"/>
        <v>29225.924999999999</v>
      </c>
      <c r="E59" s="46">
        <f t="shared" si="29"/>
        <v>32478.819</v>
      </c>
      <c r="F59" s="46">
        <f t="shared" si="29"/>
        <v>36059.01</v>
      </c>
      <c r="G59" s="46">
        <f t="shared" si="29"/>
        <v>38908.821000000004</v>
      </c>
      <c r="H59" s="46">
        <f t="shared" si="29"/>
        <v>50547</v>
      </c>
      <c r="I59" s="46">
        <f t="shared" si="29"/>
        <v>78654.81</v>
      </c>
      <c r="J59" s="46"/>
      <c r="K59" s="46">
        <f>+K27</f>
        <v>0.69797093923815989</v>
      </c>
      <c r="L59" s="3"/>
      <c r="M59" s="3"/>
      <c r="N59" s="3"/>
      <c r="O59" s="3"/>
      <c r="P59" s="3"/>
      <c r="Q59" s="3"/>
      <c r="R59" s="3"/>
      <c r="S59" s="3"/>
    </row>
    <row r="60" spans="1:19">
      <c r="A60" s="125" t="s">
        <v>50</v>
      </c>
      <c r="B60" s="46">
        <f t="shared" ref="B60:I60" si="30">+B7</f>
        <v>31460.511999999999</v>
      </c>
      <c r="C60" s="46">
        <f t="shared" si="30"/>
        <v>28912.302</v>
      </c>
      <c r="D60" s="46">
        <f t="shared" si="30"/>
        <v>28175.117999999999</v>
      </c>
      <c r="E60" s="46">
        <f t="shared" si="30"/>
        <v>29245</v>
      </c>
      <c r="F60" s="46">
        <f t="shared" si="30"/>
        <v>34776.125999999997</v>
      </c>
      <c r="G60" s="46">
        <f t="shared" si="30"/>
        <v>32993.588000000003</v>
      </c>
      <c r="H60" s="46">
        <f t="shared" si="30"/>
        <v>35549.03</v>
      </c>
      <c r="I60" s="46">
        <f t="shared" si="30"/>
        <v>37860.730000000003</v>
      </c>
      <c r="J60" s="46"/>
      <c r="K60" s="46">
        <f>+K7</f>
        <v>0.46099175031616096</v>
      </c>
      <c r="L60" s="3"/>
      <c r="M60" s="3"/>
      <c r="N60" s="3"/>
      <c r="O60" s="3"/>
      <c r="P60" s="3"/>
      <c r="Q60" s="3"/>
      <c r="R60" s="3"/>
      <c r="S60" s="3"/>
    </row>
    <row r="61" spans="1:19" ht="15.75" thickBot="1">
      <c r="A61" s="369" t="s">
        <v>60</v>
      </c>
      <c r="B61" s="370">
        <f t="shared" ref="B61:I61" si="31">+B58/360</f>
        <v>233.35258611111109</v>
      </c>
      <c r="C61" s="370">
        <f t="shared" si="31"/>
        <v>140.64962500000001</v>
      </c>
      <c r="D61" s="370">
        <f t="shared" si="31"/>
        <v>-46.852608333333336</v>
      </c>
      <c r="E61" s="370">
        <f t="shared" si="31"/>
        <v>90.271927777777776</v>
      </c>
      <c r="F61" s="370">
        <f t="shared" si="31"/>
        <v>106.54532499999999</v>
      </c>
      <c r="G61" s="370">
        <f t="shared" si="31"/>
        <v>99.564997222222232</v>
      </c>
      <c r="H61" s="370">
        <f t="shared" si="31"/>
        <v>131.07558055555555</v>
      </c>
      <c r="I61" s="370">
        <f t="shared" si="31"/>
        <v>183.24594444444446</v>
      </c>
      <c r="J61" s="799"/>
      <c r="K61" s="370">
        <f>+K58/360</f>
        <v>-218.48236399252903</v>
      </c>
      <c r="L61" s="132"/>
      <c r="M61" s="727"/>
      <c r="N61" s="727"/>
      <c r="O61" s="132"/>
      <c r="P61" s="727"/>
      <c r="Q61" s="3"/>
      <c r="R61" s="3"/>
      <c r="S61" s="3"/>
    </row>
    <row r="62" spans="1:19" ht="15.75" thickTop="1">
      <c r="A62" s="371"/>
      <c r="B62" s="119"/>
      <c r="C62" s="119"/>
      <c r="D62" s="119"/>
      <c r="E62" s="119"/>
      <c r="F62" s="119"/>
      <c r="G62" s="119"/>
      <c r="H62" s="522"/>
      <c r="I62" s="522"/>
      <c r="J62" s="522"/>
      <c r="K62" s="119"/>
      <c r="L62" s="119"/>
      <c r="M62" s="522"/>
      <c r="N62" s="522"/>
      <c r="O62" s="119"/>
      <c r="P62" s="522"/>
      <c r="Q62" s="3"/>
      <c r="R62" s="3"/>
      <c r="S62" s="3"/>
    </row>
    <row r="63" spans="1:19">
      <c r="A63" s="281" t="s">
        <v>10</v>
      </c>
      <c r="B63" s="3"/>
      <c r="C63" s="3"/>
      <c r="D63" s="3"/>
      <c r="E63" s="3"/>
      <c r="F63" s="3"/>
      <c r="G63" s="3"/>
      <c r="H63" s="3"/>
      <c r="I63" s="3"/>
      <c r="J63" s="3"/>
      <c r="K63" s="3"/>
      <c r="L63" s="3"/>
      <c r="M63" s="3"/>
      <c r="N63" s="3"/>
      <c r="O63" s="3"/>
      <c r="P63" s="3"/>
      <c r="Q63" s="3"/>
      <c r="R63" s="3"/>
      <c r="S63" s="3"/>
    </row>
    <row r="64" spans="1:19" ht="15.75" thickBot="1">
      <c r="A64" s="123" t="s">
        <v>39</v>
      </c>
      <c r="B64" s="71" t="s">
        <v>40</v>
      </c>
      <c r="C64" s="72" t="s">
        <v>41</v>
      </c>
      <c r="D64" s="71" t="s">
        <v>42</v>
      </c>
      <c r="E64" s="73" t="s">
        <v>43</v>
      </c>
      <c r="F64" s="73">
        <v>2011</v>
      </c>
      <c r="G64" s="73" t="s">
        <v>706</v>
      </c>
      <c r="H64" s="73" t="s">
        <v>858</v>
      </c>
      <c r="I64" s="73" t="s">
        <v>859</v>
      </c>
      <c r="J64" s="73"/>
      <c r="K64" s="3"/>
      <c r="L64" s="3"/>
      <c r="M64" s="3"/>
      <c r="N64" s="3"/>
      <c r="O64" s="3"/>
      <c r="P64" s="3"/>
      <c r="Q64" s="3"/>
      <c r="R64" s="3"/>
      <c r="S64" s="3"/>
    </row>
    <row r="65" spans="1:19">
      <c r="A65" s="120" t="s">
        <v>12</v>
      </c>
      <c r="B65" s="34">
        <f t="shared" ref="B65:I65" si="32">+B6</f>
        <v>68245.282000000007</v>
      </c>
      <c r="C65" s="34">
        <f t="shared" si="32"/>
        <v>76021.293999999994</v>
      </c>
      <c r="D65" s="34">
        <f t="shared" si="32"/>
        <v>79887.293999999994</v>
      </c>
      <c r="E65" s="34">
        <f t="shared" si="32"/>
        <v>85757.510999999999</v>
      </c>
      <c r="F65" s="34">
        <f t="shared" si="32"/>
        <v>91145.91</v>
      </c>
      <c r="G65" s="34">
        <f t="shared" si="32"/>
        <v>92529.489000000001</v>
      </c>
      <c r="H65" s="34">
        <f t="shared" si="32"/>
        <v>99703.27</v>
      </c>
      <c r="I65" s="34">
        <f t="shared" si="32"/>
        <v>99918.35</v>
      </c>
      <c r="J65" s="11"/>
      <c r="K65" s="3"/>
      <c r="L65" s="3"/>
      <c r="M65" s="3"/>
      <c r="N65" s="3"/>
      <c r="O65" s="3"/>
      <c r="P65" s="3"/>
      <c r="Q65" s="3"/>
      <c r="R65" s="3"/>
      <c r="S65" s="3"/>
    </row>
    <row r="66" spans="1:19">
      <c r="A66" s="120" t="s">
        <v>85</v>
      </c>
      <c r="B66" s="11">
        <f t="shared" ref="B66:I66" si="33">+B27</f>
        <v>52546.419000000002</v>
      </c>
      <c r="C66" s="11">
        <f t="shared" si="33"/>
        <v>74267.982000000004</v>
      </c>
      <c r="D66" s="11">
        <f t="shared" si="33"/>
        <v>29225.924999999999</v>
      </c>
      <c r="E66" s="11">
        <f t="shared" si="33"/>
        <v>32478.819</v>
      </c>
      <c r="F66" s="11">
        <f t="shared" si="33"/>
        <v>36059.01</v>
      </c>
      <c r="G66" s="11">
        <f t="shared" si="33"/>
        <v>38908.821000000004</v>
      </c>
      <c r="H66" s="11">
        <f t="shared" si="33"/>
        <v>50547</v>
      </c>
      <c r="I66" s="11">
        <f t="shared" si="33"/>
        <v>78654.81</v>
      </c>
      <c r="J66" s="11"/>
      <c r="K66" s="3"/>
      <c r="L66" s="3"/>
      <c r="M66" s="3"/>
      <c r="N66" s="3"/>
      <c r="O66" s="3"/>
      <c r="P66" s="3"/>
      <c r="Q66" s="3"/>
      <c r="R66" s="3"/>
      <c r="S66" s="3"/>
    </row>
    <row r="67" spans="1:19">
      <c r="A67" s="120" t="s">
        <v>302</v>
      </c>
      <c r="B67" s="11">
        <f t="shared" ref="B67:I67" si="34">+B26</f>
        <v>4493.3069999999998</v>
      </c>
      <c r="C67" s="11">
        <f t="shared" si="34"/>
        <v>0</v>
      </c>
      <c r="D67" s="11">
        <f t="shared" si="34"/>
        <v>0</v>
      </c>
      <c r="E67" s="11">
        <f t="shared" si="34"/>
        <v>0</v>
      </c>
      <c r="F67" s="11">
        <f t="shared" si="34"/>
        <v>0</v>
      </c>
      <c r="G67" s="11">
        <f t="shared" si="34"/>
        <v>0</v>
      </c>
      <c r="H67" s="11">
        <f t="shared" si="34"/>
        <v>0</v>
      </c>
      <c r="I67" s="11">
        <f t="shared" si="34"/>
        <v>0</v>
      </c>
      <c r="J67" s="11"/>
      <c r="K67" s="3"/>
      <c r="L67" s="3"/>
      <c r="M67" s="3"/>
      <c r="N67" s="3"/>
      <c r="O67" s="3"/>
      <c r="P67" s="3"/>
      <c r="Q67" s="3"/>
      <c r="R67" s="3"/>
      <c r="S67" s="3"/>
    </row>
    <row r="68" spans="1:19">
      <c r="A68" s="120" t="s">
        <v>303</v>
      </c>
      <c r="B68" s="11">
        <f t="shared" ref="B68:I68" si="35">+B35+B37+B38+B39</f>
        <v>10025.474</v>
      </c>
      <c r="C68" s="11">
        <f t="shared" si="35"/>
        <v>14401.983</v>
      </c>
      <c r="D68" s="11">
        <f t="shared" si="35"/>
        <v>12379.909</v>
      </c>
      <c r="E68" s="11">
        <f t="shared" si="35"/>
        <v>26721.35</v>
      </c>
      <c r="F68" s="11">
        <f t="shared" si="35"/>
        <v>26829.416000000001</v>
      </c>
      <c r="G68" s="11">
        <f t="shared" si="35"/>
        <v>15399.891000000001</v>
      </c>
      <c r="H68" s="11">
        <f t="shared" si="35"/>
        <v>35363</v>
      </c>
      <c r="I68" s="11">
        <f t="shared" si="35"/>
        <v>58669.265999999996</v>
      </c>
      <c r="J68" s="11"/>
      <c r="K68" s="3"/>
      <c r="L68" s="3"/>
      <c r="M68" s="3"/>
      <c r="N68" s="3"/>
      <c r="O68" s="3"/>
      <c r="P68" s="3"/>
      <c r="Q68" s="3"/>
      <c r="R68" s="3"/>
      <c r="S68" s="3"/>
    </row>
    <row r="69" spans="1:19">
      <c r="A69" s="120" t="s">
        <v>86</v>
      </c>
      <c r="B69" s="11">
        <f t="shared" ref="B69:I69" si="36">+B25</f>
        <v>6226.7349999999997</v>
      </c>
      <c r="C69" s="11">
        <f t="shared" si="36"/>
        <v>10449.946</v>
      </c>
      <c r="D69" s="11">
        <f t="shared" si="36"/>
        <v>8903.0879999999997</v>
      </c>
      <c r="E69" s="11">
        <f t="shared" si="36"/>
        <v>11296.766</v>
      </c>
      <c r="F69" s="11">
        <f t="shared" si="36"/>
        <v>7637.2430000000004</v>
      </c>
      <c r="G69" s="11">
        <f t="shared" si="36"/>
        <v>7760.9030000000002</v>
      </c>
      <c r="H69" s="11">
        <f t="shared" si="36"/>
        <v>11832</v>
      </c>
      <c r="I69" s="11">
        <f t="shared" si="36"/>
        <v>7493.665</v>
      </c>
      <c r="J69" s="11"/>
      <c r="K69" s="3"/>
      <c r="L69" s="3"/>
      <c r="M69" s="3"/>
      <c r="N69" s="3"/>
      <c r="O69" s="3"/>
      <c r="P69" s="3"/>
      <c r="Q69" s="3"/>
      <c r="R69" s="3"/>
      <c r="S69" s="3"/>
    </row>
    <row r="70" spans="1:19" ht="15.75" thickBot="1">
      <c r="A70" s="125" t="s">
        <v>82</v>
      </c>
      <c r="B70" s="33">
        <f t="shared" ref="B70:G70" si="37">+B66+B67-B68+B69</f>
        <v>53240.987000000001</v>
      </c>
      <c r="C70" s="33">
        <f t="shared" si="37"/>
        <v>70315.945000000007</v>
      </c>
      <c r="D70" s="33">
        <f t="shared" si="37"/>
        <v>25749.103999999999</v>
      </c>
      <c r="E70" s="33">
        <f t="shared" si="37"/>
        <v>17054.235000000001</v>
      </c>
      <c r="F70" s="33">
        <f t="shared" si="37"/>
        <v>16866.837</v>
      </c>
      <c r="G70" s="33">
        <f t="shared" si="37"/>
        <v>31269.832999999999</v>
      </c>
      <c r="H70" s="33">
        <f>+H66+H67-H68+H69</f>
        <v>27016</v>
      </c>
      <c r="I70" s="33">
        <f>+I66+I67-I68+I69</f>
        <v>27479.209000000003</v>
      </c>
      <c r="J70" s="11"/>
      <c r="K70" s="3"/>
      <c r="L70" s="3"/>
      <c r="M70" s="3"/>
      <c r="N70" s="3"/>
      <c r="O70" s="3"/>
      <c r="P70" s="3"/>
      <c r="Q70" s="3"/>
      <c r="R70" s="3"/>
      <c r="S70" s="3"/>
    </row>
    <row r="71" spans="1:19" ht="15.75" thickBot="1">
      <c r="A71" s="120"/>
      <c r="B71" s="3"/>
      <c r="C71" s="3"/>
      <c r="D71" s="3"/>
      <c r="E71" s="3"/>
      <c r="F71" s="3"/>
      <c r="G71" s="3"/>
      <c r="H71" s="3"/>
      <c r="I71" s="3"/>
      <c r="J71" s="3"/>
      <c r="K71" s="4" t="s">
        <v>52</v>
      </c>
      <c r="L71" s="3"/>
      <c r="M71" s="3"/>
      <c r="N71" s="783" t="s">
        <v>928</v>
      </c>
      <c r="O71" s="3"/>
      <c r="P71" s="3"/>
      <c r="Q71" s="3"/>
      <c r="R71" s="3"/>
      <c r="S71" s="3"/>
    </row>
    <row r="72" spans="1:19" ht="15.75" thickBot="1">
      <c r="A72" s="125" t="s">
        <v>51</v>
      </c>
      <c r="B72" s="22">
        <f t="shared" ref="B72:I72" si="38">+(365/(B65/B69))</f>
        <v>33.302789707865813</v>
      </c>
      <c r="C72" s="22">
        <f t="shared" si="38"/>
        <v>50.17318292424752</v>
      </c>
      <c r="D72" s="22">
        <f t="shared" si="38"/>
        <v>40.677646685591831</v>
      </c>
      <c r="E72" s="22">
        <f t="shared" si="38"/>
        <v>48.0811481340684</v>
      </c>
      <c r="F72" s="22">
        <f t="shared" si="38"/>
        <v>30.583859385462276</v>
      </c>
      <c r="G72" s="22">
        <f t="shared" si="38"/>
        <v>30.614343876901771</v>
      </c>
      <c r="H72" s="22">
        <f t="shared" si="38"/>
        <v>43.315329577455181</v>
      </c>
      <c r="I72" s="22">
        <f t="shared" si="38"/>
        <v>27.374228307413002</v>
      </c>
      <c r="J72" s="22"/>
      <c r="K72" s="25">
        <f>+AVERAGE(B72:I72)</f>
        <v>38.015316074875727</v>
      </c>
      <c r="L72" s="3"/>
      <c r="M72" s="3"/>
      <c r="N72" s="784">
        <f>+AVERAGE(E72:I72)</f>
        <v>35.993781856260128</v>
      </c>
      <c r="O72" s="3">
        <f>+STDEV(B72:I72)</f>
        <v>8.6993796200453559</v>
      </c>
      <c r="P72" s="3"/>
      <c r="Q72" s="3"/>
      <c r="R72" s="3"/>
      <c r="S72" s="3"/>
    </row>
    <row r="73" spans="1:19">
      <c r="A73" s="125"/>
      <c r="B73" s="3"/>
      <c r="C73" s="3"/>
      <c r="D73" s="3"/>
      <c r="E73" s="3"/>
      <c r="F73" s="3"/>
      <c r="G73" s="3"/>
      <c r="H73" s="3"/>
      <c r="I73" s="3"/>
      <c r="J73" s="3"/>
      <c r="K73" s="3"/>
      <c r="L73" s="3"/>
      <c r="M73" s="3"/>
      <c r="N73" s="3"/>
      <c r="O73" s="3"/>
      <c r="P73" s="3"/>
      <c r="Q73" s="3"/>
      <c r="R73" s="3"/>
      <c r="S73" s="3"/>
    </row>
    <row r="74" spans="1:19" ht="69" customHeight="1">
      <c r="A74" s="1536" t="s">
        <v>931</v>
      </c>
      <c r="B74" s="1537"/>
      <c r="C74" s="1537"/>
      <c r="D74" s="1537"/>
      <c r="E74" s="1537"/>
      <c r="F74" s="1537"/>
      <c r="G74" s="1537"/>
      <c r="H74" s="1537"/>
      <c r="I74" s="1537"/>
      <c r="J74" s="1537"/>
      <c r="K74" s="1537"/>
      <c r="L74" s="1537"/>
      <c r="M74" s="1537"/>
      <c r="N74" s="1537"/>
      <c r="O74" s="1537"/>
      <c r="P74" s="1537"/>
      <c r="Q74" s="3"/>
      <c r="R74" s="3"/>
      <c r="S74" s="3"/>
    </row>
    <row r="75" spans="1:19" s="37" customFormat="1" ht="50.25" customHeight="1">
      <c r="A75" s="362"/>
      <c r="B75" s="363"/>
      <c r="C75" s="363"/>
      <c r="D75" s="363"/>
      <c r="E75" s="363"/>
      <c r="F75" s="363"/>
      <c r="G75" s="363"/>
      <c r="H75" s="711"/>
      <c r="I75" s="711"/>
      <c r="J75" s="792"/>
      <c r="K75" s="363"/>
      <c r="L75" s="363"/>
      <c r="M75" s="363"/>
      <c r="N75" s="363"/>
      <c r="O75" s="363"/>
      <c r="P75" s="591"/>
      <c r="Q75" s="3"/>
      <c r="R75" s="3"/>
      <c r="S75" s="3"/>
    </row>
    <row r="76" spans="1:19" s="37" customFormat="1" ht="50.25" customHeight="1">
      <c r="A76" s="362"/>
      <c r="B76" s="363"/>
      <c r="C76" s="363"/>
      <c r="D76" s="363"/>
      <c r="E76" s="363"/>
      <c r="F76" s="363"/>
      <c r="G76" s="363"/>
      <c r="H76" s="711"/>
      <c r="I76" s="711"/>
      <c r="J76" s="792"/>
      <c r="K76" s="363"/>
      <c r="L76" s="363"/>
      <c r="M76" s="363"/>
      <c r="N76" s="363"/>
      <c r="O76" s="363"/>
      <c r="P76" s="591"/>
      <c r="Q76" s="3"/>
      <c r="R76" s="3"/>
      <c r="S76" s="3"/>
    </row>
    <row r="77" spans="1:19" s="37" customFormat="1" ht="50.25" customHeight="1">
      <c r="A77" s="362"/>
      <c r="B77" s="363"/>
      <c r="C77" s="363"/>
      <c r="D77" s="363"/>
      <c r="E77" s="363"/>
      <c r="F77" s="363"/>
      <c r="G77" s="363"/>
      <c r="H77" s="711"/>
      <c r="I77" s="711"/>
      <c r="J77" s="792"/>
      <c r="K77" s="363"/>
      <c r="L77" s="363"/>
      <c r="M77" s="363"/>
      <c r="N77" s="363"/>
      <c r="O77" s="363"/>
      <c r="P77" s="591"/>
      <c r="Q77" s="3"/>
      <c r="R77" s="3"/>
      <c r="S77" s="3"/>
    </row>
    <row r="78" spans="1:19" s="37" customFormat="1" ht="50.25" customHeight="1">
      <c r="A78" s="362"/>
      <c r="B78" s="363"/>
      <c r="C78" s="363"/>
      <c r="D78" s="363"/>
      <c r="E78" s="363"/>
      <c r="F78" s="363"/>
      <c r="G78" s="363"/>
      <c r="H78" s="711"/>
      <c r="I78" s="711"/>
      <c r="J78" s="792"/>
      <c r="K78" s="363"/>
      <c r="L78" s="363"/>
      <c r="M78" s="363"/>
      <c r="N78" s="363"/>
      <c r="O78" s="363"/>
      <c r="P78" s="591"/>
      <c r="Q78" s="3"/>
      <c r="R78" s="3"/>
      <c r="S78" s="3"/>
    </row>
    <row r="79" spans="1:19">
      <c r="A79" s="124"/>
      <c r="B79" s="3"/>
      <c r="C79" s="3"/>
      <c r="D79" s="3"/>
      <c r="E79" s="3"/>
      <c r="F79" s="3"/>
      <c r="G79" s="3"/>
      <c r="H79" s="3"/>
      <c r="I79" s="3"/>
      <c r="J79" s="3"/>
      <c r="K79" s="3"/>
      <c r="L79" s="3"/>
      <c r="M79" s="3"/>
      <c r="N79" s="3"/>
      <c r="O79" s="3"/>
      <c r="P79" s="3"/>
      <c r="Q79" s="3"/>
      <c r="R79" s="3"/>
      <c r="S79" s="3"/>
    </row>
    <row r="80" spans="1:19" s="64" customFormat="1">
      <c r="A80" s="124"/>
      <c r="B80" s="3"/>
      <c r="C80" s="3"/>
      <c r="D80" s="3"/>
      <c r="E80" s="3"/>
      <c r="F80" s="3"/>
      <c r="G80" s="3"/>
      <c r="H80" s="3"/>
      <c r="I80" s="3"/>
      <c r="J80" s="3"/>
      <c r="K80" s="3"/>
      <c r="L80" s="3"/>
      <c r="M80" s="3"/>
      <c r="N80" s="3"/>
      <c r="O80" s="3"/>
      <c r="P80" s="3"/>
      <c r="Q80" s="3"/>
      <c r="R80" s="3"/>
      <c r="S80" s="3"/>
    </row>
    <row r="81" spans="1:19" s="64" customFormat="1">
      <c r="A81" s="124"/>
      <c r="B81" s="3"/>
      <c r="C81" s="3"/>
      <c r="D81" s="3"/>
      <c r="E81" s="3"/>
      <c r="F81" s="3"/>
      <c r="G81" s="3"/>
      <c r="H81" s="3"/>
      <c r="I81" s="3"/>
      <c r="J81" s="3"/>
      <c r="K81" s="3"/>
      <c r="L81" s="3"/>
      <c r="M81" s="3"/>
      <c r="N81" s="3"/>
      <c r="O81" s="3"/>
      <c r="P81" s="3"/>
      <c r="Q81" s="3"/>
      <c r="R81" s="3"/>
      <c r="S81" s="3"/>
    </row>
    <row r="82" spans="1:19" s="64" customFormat="1">
      <c r="A82" s="3" t="s">
        <v>510</v>
      </c>
      <c r="B82" s="3"/>
      <c r="C82" s="3"/>
      <c r="D82" s="3"/>
      <c r="E82" s="3"/>
      <c r="F82" s="3"/>
      <c r="G82" s="3"/>
      <c r="H82" s="3"/>
      <c r="I82" s="3"/>
      <c r="J82" s="3"/>
      <c r="K82" s="3"/>
      <c r="L82" s="3"/>
      <c r="M82" s="3"/>
      <c r="N82" s="3"/>
      <c r="O82" s="3"/>
      <c r="P82" s="3"/>
      <c r="Q82" s="3"/>
      <c r="R82" s="3"/>
      <c r="S82" s="3"/>
    </row>
    <row r="83" spans="1:19" s="64" customFormat="1">
      <c r="A83" s="124"/>
      <c r="B83" s="3" t="s">
        <v>510</v>
      </c>
      <c r="C83" s="3"/>
      <c r="D83" s="3"/>
      <c r="E83" s="3"/>
      <c r="F83" s="3"/>
      <c r="G83" s="3"/>
      <c r="H83" s="3"/>
      <c r="I83" s="3"/>
      <c r="J83" s="3"/>
      <c r="K83" s="3"/>
      <c r="L83" s="3"/>
      <c r="M83" s="3"/>
      <c r="N83" s="3"/>
      <c r="O83" s="3"/>
      <c r="P83" s="3"/>
      <c r="Q83" s="3"/>
      <c r="R83" s="3"/>
      <c r="S83" s="3"/>
    </row>
    <row r="84" spans="1:19" s="64" customFormat="1" ht="15.75" thickBot="1">
      <c r="A84" s="372"/>
      <c r="B84" s="132"/>
      <c r="C84" s="132"/>
      <c r="D84" s="132"/>
      <c r="E84" s="132"/>
      <c r="F84" s="132"/>
      <c r="G84" s="132"/>
      <c r="H84" s="727"/>
      <c r="I84" s="727"/>
      <c r="J84" s="727"/>
      <c r="K84" s="132"/>
      <c r="L84" s="132"/>
      <c r="M84" s="727"/>
      <c r="N84" s="727"/>
      <c r="O84" s="132"/>
      <c r="P84" s="727"/>
      <c r="Q84" s="3"/>
      <c r="R84" s="3"/>
      <c r="S84" s="3"/>
    </row>
    <row r="85" spans="1:19" s="64" customFormat="1" ht="15.75" thickTop="1">
      <c r="A85" s="373"/>
      <c r="B85" s="119"/>
      <c r="C85" s="119"/>
      <c r="D85" s="119"/>
      <c r="E85" s="119"/>
      <c r="F85" s="119"/>
      <c r="G85" s="119"/>
      <c r="H85" s="522"/>
      <c r="I85" s="522"/>
      <c r="J85" s="522"/>
      <c r="K85" s="119"/>
      <c r="L85" s="119"/>
      <c r="M85" s="522"/>
      <c r="N85" s="522"/>
      <c r="O85" s="119"/>
      <c r="P85" s="522"/>
      <c r="Q85" s="3"/>
      <c r="R85" s="3"/>
      <c r="S85" s="3"/>
    </row>
    <row r="86" spans="1:19" ht="15.75">
      <c r="A86" s="127" t="s">
        <v>53</v>
      </c>
      <c r="B86" s="3"/>
      <c r="C86" s="3"/>
      <c r="D86" s="3"/>
      <c r="E86" s="3"/>
      <c r="F86" s="3"/>
      <c r="G86" s="3"/>
      <c r="H86" s="3"/>
      <c r="I86" s="3"/>
      <c r="J86" s="3"/>
      <c r="K86" s="3"/>
      <c r="L86" s="3"/>
      <c r="M86" s="3"/>
      <c r="N86" s="3"/>
      <c r="O86" s="3"/>
      <c r="P86" s="3"/>
      <c r="Q86" s="3"/>
      <c r="R86" s="3"/>
      <c r="S86" s="3"/>
    </row>
    <row r="87" spans="1:19" ht="15.75" thickBot="1">
      <c r="A87" s="281" t="s">
        <v>10</v>
      </c>
      <c r="B87" s="3"/>
      <c r="C87" s="3"/>
      <c r="D87" s="3"/>
      <c r="E87" s="3"/>
      <c r="F87" s="3"/>
      <c r="G87" s="3"/>
      <c r="H87" s="3"/>
      <c r="I87" s="3"/>
      <c r="J87" s="3"/>
      <c r="K87" s="3"/>
      <c r="L87" s="3"/>
      <c r="M87" s="3"/>
      <c r="N87" s="3"/>
      <c r="O87" s="3"/>
      <c r="P87" s="3"/>
      <c r="Q87" s="3"/>
      <c r="R87" s="3"/>
      <c r="S87" s="3"/>
    </row>
    <row r="88" spans="1:19">
      <c r="A88" s="374"/>
      <c r="B88" s="39">
        <v>2007</v>
      </c>
      <c r="C88" s="39">
        <v>2008</v>
      </c>
      <c r="D88" s="39">
        <v>2009</v>
      </c>
      <c r="E88" s="39">
        <v>2010</v>
      </c>
      <c r="F88" s="592">
        <v>2011</v>
      </c>
      <c r="G88" s="40">
        <v>2012</v>
      </c>
      <c r="H88" s="592">
        <v>2013</v>
      </c>
      <c r="I88" s="40">
        <v>2014</v>
      </c>
      <c r="J88" s="45"/>
      <c r="K88" s="3"/>
      <c r="L88" s="3"/>
      <c r="M88" s="3"/>
      <c r="N88" s="3"/>
      <c r="O88" s="3"/>
      <c r="P88" s="3"/>
      <c r="Q88" s="3"/>
      <c r="R88" s="3"/>
      <c r="S88" s="3"/>
    </row>
    <row r="89" spans="1:19">
      <c r="A89" s="128" t="s">
        <v>54</v>
      </c>
      <c r="B89" s="56">
        <f>+'Anexo 2 - ER'!C14*(1-$T$9)</f>
        <v>9875.9762099999989</v>
      </c>
      <c r="C89" s="56">
        <f>+'Anexo 2 - ER'!D14*(1-$T$9)</f>
        <v>13872.18786</v>
      </c>
      <c r="D89" s="56">
        <f>+'Anexo 2 - ER'!E14*(1-$T$9)</f>
        <v>13578.102749999998</v>
      </c>
      <c r="E89" s="56">
        <f>+'Anexo 2 - ER'!F14*(1-$T$9)</f>
        <v>15862.389359999997</v>
      </c>
      <c r="F89" s="593">
        <f>+'Anexo 2 - ER'!G14*(1-$T$9)</f>
        <v>13083.803549999997</v>
      </c>
      <c r="G89" s="57">
        <f>+'Anexo 2 - ER'!H14*(1-$T$9)</f>
        <v>14799.971029999997</v>
      </c>
      <c r="H89" s="593">
        <f>+'Anexo 2 - ER'!I14*(1-$T$9)</f>
        <v>12153.733000000004</v>
      </c>
      <c r="I89" s="57">
        <f>+'Anexo 2 - ER'!J14*(1-$T$9)</f>
        <v>8645.6532000000007</v>
      </c>
      <c r="J89" s="800"/>
      <c r="K89" s="3"/>
      <c r="L89" s="3"/>
      <c r="M89" s="3"/>
      <c r="N89" s="3"/>
      <c r="O89" s="3"/>
      <c r="P89" s="3"/>
      <c r="Q89" s="3"/>
      <c r="R89" s="3"/>
      <c r="S89" s="3"/>
    </row>
    <row r="90" spans="1:19">
      <c r="A90" s="128" t="s">
        <v>87</v>
      </c>
      <c r="B90" s="58">
        <f>+'Anexo 2 - ER'!C4</f>
        <v>68245.282000000007</v>
      </c>
      <c r="C90" s="58">
        <f>+'Anexo 2 - ER'!D4</f>
        <v>76021.293999999994</v>
      </c>
      <c r="D90" s="58">
        <f>+'Anexo 2 - ER'!E4</f>
        <v>79887.293999999994</v>
      </c>
      <c r="E90" s="58">
        <f>+'Anexo 2 - ER'!F4</f>
        <v>85757.510999999999</v>
      </c>
      <c r="F90" s="594">
        <f>+'Anexo 2 - ER'!G4</f>
        <v>91145.91</v>
      </c>
      <c r="G90" s="59">
        <f>+'Anexo 2 - ER'!H4</f>
        <v>92529.489000000001</v>
      </c>
      <c r="H90" s="594">
        <f>+'Anexo 2 - ER'!I4</f>
        <v>99703.27</v>
      </c>
      <c r="I90" s="59">
        <f>+'Anexo 2 - ER'!J4</f>
        <v>99918.35</v>
      </c>
      <c r="J90" s="801"/>
      <c r="K90" s="3"/>
      <c r="L90" s="3"/>
      <c r="M90" s="3"/>
      <c r="N90" s="3"/>
      <c r="O90" s="3"/>
      <c r="P90" s="3"/>
      <c r="Q90" s="3"/>
      <c r="R90" s="3"/>
      <c r="S90" s="3"/>
    </row>
    <row r="91" spans="1:19">
      <c r="A91" s="128" t="s">
        <v>88</v>
      </c>
      <c r="B91" s="56">
        <f>+'Anexo 1 - Balance'!C106-('Anexo 1 - Balance'!C157-'Anexo 1 - Balance'!C107)</f>
        <v>57698.875</v>
      </c>
      <c r="C91" s="56">
        <f>+'Anexo 1 - Balance'!D106-('Anexo 1 - Balance'!D157-'Anexo 1 - Balance'!D107)</f>
        <v>73569.646999999997</v>
      </c>
      <c r="D91" s="56">
        <f>+'Anexo 1 - Balance'!E106-('Anexo 1 - Balance'!E157-'Anexo 1 - Balance'!E107)</f>
        <v>75802.016000000003</v>
      </c>
      <c r="E91" s="56">
        <f>+'Anexo 1 - Balance'!F106-('Anexo 1 - Balance'!F157-'Anexo 1 - Balance'!F107)</f>
        <v>65102.270000000004</v>
      </c>
      <c r="F91" s="593">
        <f>+'Anexo 1 - Balance'!G106-('Anexo 1 - Balance'!G157-'Anexo 1 - Balance'!G107)</f>
        <v>69884.407999999996</v>
      </c>
      <c r="G91" s="57">
        <f>+'Anexo 1 - Balance'!H106-('Anexo 1 - Balance'!H157-'Anexo 1 - Balance'!H107)</f>
        <v>32532.269999999997</v>
      </c>
      <c r="H91" s="593">
        <f>+'Anexo 1 - Balance'!I106-('Anexo 1 - Balance'!I157-'Anexo 1 - Balance'!I107)</f>
        <v>30342</v>
      </c>
      <c r="I91" s="57">
        <f>+'Anexo 1 - Balance'!J106-('Anexo 1 - Balance'!J157-'Anexo 1 - Balance'!J107)</f>
        <v>31233.253000000012</v>
      </c>
      <c r="J91" s="800"/>
      <c r="K91" s="3"/>
      <c r="L91" s="3"/>
      <c r="M91" s="3"/>
      <c r="N91" s="3"/>
      <c r="O91" s="3"/>
      <c r="P91" s="3"/>
      <c r="Q91" s="3"/>
      <c r="R91" s="3"/>
      <c r="S91" s="3"/>
    </row>
    <row r="92" spans="1:19">
      <c r="A92" s="128" t="s">
        <v>89</v>
      </c>
      <c r="B92" s="56">
        <f>+'Anexo 1 - Balance'!C107+'Anexo 1 - Balance'!C205</f>
        <v>0</v>
      </c>
      <c r="C92" s="56">
        <f>+'Anexo 1 - Balance'!D107+'Anexo 1 - Balance'!D205</f>
        <v>0</v>
      </c>
      <c r="D92" s="56">
        <f>+'Anexo 1 - Balance'!E107+'Anexo 1 - Balance'!E205</f>
        <v>0</v>
      </c>
      <c r="E92" s="56">
        <f>+'Anexo 1 - Balance'!F107+'Anexo 1 - Balance'!F205</f>
        <v>0</v>
      </c>
      <c r="F92" s="593">
        <f>+'Anexo 1 - Balance'!G107+'Anexo 1 - Balance'!G205</f>
        <v>0</v>
      </c>
      <c r="G92" s="57">
        <f>+'Anexo 1 - Balance'!H107+'Anexo 1 - Balance'!H205</f>
        <v>1276.5730000000001</v>
      </c>
      <c r="H92" s="593">
        <f>+'Anexo 1 - Balance'!I107+'Anexo 1 - Balance'!I205</f>
        <v>283</v>
      </c>
      <c r="I92" s="57">
        <f>+'Anexo 1 - Balance'!J107+'Anexo 1 - Balance'!J205</f>
        <v>0</v>
      </c>
      <c r="J92" s="800"/>
      <c r="K92" s="3"/>
      <c r="L92" s="3"/>
      <c r="M92" s="3"/>
      <c r="N92" s="3"/>
      <c r="O92" s="3"/>
      <c r="P92" s="3"/>
      <c r="Q92" s="3"/>
      <c r="R92" s="3"/>
      <c r="S92" s="3"/>
    </row>
    <row r="93" spans="1:19" ht="15.75" thickBot="1">
      <c r="A93" s="375" t="s">
        <v>90</v>
      </c>
      <c r="B93" s="250">
        <f>+'Anexo 1 - Balance'!C229</f>
        <v>57698.875</v>
      </c>
      <c r="C93" s="250">
        <f>+'Anexo 1 - Balance'!D229</f>
        <v>73569.646999999997</v>
      </c>
      <c r="D93" s="250">
        <f>+'Anexo 1 - Balance'!E229</f>
        <v>75802.016000000003</v>
      </c>
      <c r="E93" s="250">
        <f>+'Anexo 1 - Balance'!F229</f>
        <v>65102.27</v>
      </c>
      <c r="F93" s="595">
        <f>+'Anexo 1 - Balance'!G229</f>
        <v>69884.407999999996</v>
      </c>
      <c r="G93" s="251">
        <f>+'Anexo 1 - Balance'!H229</f>
        <v>31255.697</v>
      </c>
      <c r="H93" s="595">
        <f>+'Anexo 1 - Balance'!I229</f>
        <v>30059</v>
      </c>
      <c r="I93" s="251">
        <f>+'Anexo 1 - Balance'!J229</f>
        <v>31233.253000000001</v>
      </c>
      <c r="J93" s="800"/>
      <c r="K93" s="3"/>
      <c r="L93" s="3"/>
      <c r="M93" s="3"/>
      <c r="N93" s="3"/>
      <c r="O93" s="3"/>
      <c r="P93" s="3"/>
      <c r="Q93" s="3"/>
      <c r="R93" s="3"/>
      <c r="S93" s="3"/>
    </row>
    <row r="94" spans="1:19" ht="15.75" thickBot="1">
      <c r="A94" s="376" t="s">
        <v>427</v>
      </c>
      <c r="B94" s="252">
        <f t="shared" ref="B94:G94" si="39">+B91-B92-B93</f>
        <v>0</v>
      </c>
      <c r="C94" s="252">
        <f t="shared" si="39"/>
        <v>0</v>
      </c>
      <c r="D94" s="252">
        <f t="shared" si="39"/>
        <v>0</v>
      </c>
      <c r="E94" s="252">
        <f t="shared" si="39"/>
        <v>0</v>
      </c>
      <c r="F94" s="596">
        <f t="shared" si="39"/>
        <v>0</v>
      </c>
      <c r="G94" s="253">
        <f t="shared" si="39"/>
        <v>0</v>
      </c>
      <c r="H94" s="596">
        <f>+H91-H92-H93</f>
        <v>0</v>
      </c>
      <c r="I94" s="253">
        <f>+I91-I92-I93</f>
        <v>0</v>
      </c>
      <c r="J94" s="11"/>
      <c r="K94" s="3"/>
      <c r="L94" s="3"/>
      <c r="M94" s="3"/>
      <c r="N94" s="3"/>
      <c r="O94" s="3"/>
      <c r="P94" s="3"/>
      <c r="Q94" s="3"/>
      <c r="R94" s="3"/>
      <c r="S94" s="3"/>
    </row>
    <row r="95" spans="1:19" s="64" customFormat="1" ht="15.75" thickBot="1">
      <c r="A95" s="120"/>
      <c r="B95" s="11"/>
      <c r="C95" s="11"/>
      <c r="D95" s="11"/>
      <c r="E95" s="11"/>
      <c r="F95" s="11"/>
      <c r="G95" s="3"/>
      <c r="H95" s="11"/>
      <c r="I95" s="3"/>
      <c r="J95" s="3"/>
      <c r="K95" s="3"/>
      <c r="L95" s="3"/>
      <c r="M95" s="3"/>
      <c r="N95" s="3"/>
      <c r="O95" s="3"/>
      <c r="P95" s="3"/>
      <c r="Q95" s="3"/>
      <c r="R95" s="3"/>
      <c r="S95" s="3"/>
    </row>
    <row r="96" spans="1:19" ht="16.5" thickTop="1" thickBot="1">
      <c r="A96" s="559" t="s">
        <v>54</v>
      </c>
      <c r="B96" s="687">
        <f t="shared" ref="B96:I96" si="40">+B89/B90</f>
        <v>0.14471295187849026</v>
      </c>
      <c r="C96" s="687">
        <f t="shared" si="40"/>
        <v>0.18247766027239684</v>
      </c>
      <c r="D96" s="687">
        <f t="shared" si="40"/>
        <v>0.16996573635351822</v>
      </c>
      <c r="E96" s="687">
        <f t="shared" si="40"/>
        <v>0.18496793079733853</v>
      </c>
      <c r="F96" s="687">
        <f t="shared" si="40"/>
        <v>0.14354789534714171</v>
      </c>
      <c r="G96" s="687">
        <f t="shared" si="40"/>
        <v>0.15994869516679161</v>
      </c>
      <c r="H96" s="687">
        <f t="shared" si="40"/>
        <v>0.12189904102443183</v>
      </c>
      <c r="I96" s="687">
        <f t="shared" si="40"/>
        <v>8.6527181443648737E-2</v>
      </c>
      <c r="J96" s="687"/>
      <c r="K96" s="1540" t="s">
        <v>91</v>
      </c>
      <c r="L96" s="1540"/>
      <c r="M96" s="1540"/>
      <c r="N96" s="1540"/>
      <c r="O96" s="1540"/>
      <c r="P96" s="1540"/>
      <c r="Q96" s="1541"/>
      <c r="R96" s="713"/>
      <c r="S96" s="713"/>
    </row>
    <row r="97" spans="1:19">
      <c r="A97" s="130" t="s">
        <v>671</v>
      </c>
      <c r="B97" s="688"/>
      <c r="C97" s="688"/>
      <c r="D97" s="688"/>
      <c r="E97" s="688"/>
      <c r="F97" s="688"/>
      <c r="G97" s="688"/>
      <c r="H97" s="688"/>
      <c r="I97" s="688"/>
      <c r="J97" s="688"/>
      <c r="K97" s="1542"/>
      <c r="L97" s="1542"/>
      <c r="M97" s="1542"/>
      <c r="N97" s="1542"/>
      <c r="O97" s="1542"/>
      <c r="P97" s="1542"/>
      <c r="Q97" s="1543"/>
      <c r="R97" s="713"/>
      <c r="S97" s="713"/>
    </row>
    <row r="98" spans="1:19">
      <c r="A98" s="130"/>
      <c r="B98" s="23"/>
      <c r="C98" s="23"/>
      <c r="D98" s="23"/>
      <c r="E98" s="23"/>
      <c r="F98" s="23"/>
      <c r="G98" s="23"/>
      <c r="H98" s="23"/>
      <c r="I98" s="23"/>
      <c r="J98" s="23"/>
      <c r="K98" s="521"/>
      <c r="L98" s="521"/>
      <c r="M98" s="521"/>
      <c r="N98" s="521"/>
      <c r="O98" s="521"/>
      <c r="P98" s="521"/>
      <c r="Q98" s="121"/>
      <c r="R98" s="3"/>
      <c r="S98" s="3"/>
    </row>
    <row r="99" spans="1:19" ht="15.75" thickBot="1">
      <c r="A99" s="129" t="s">
        <v>671</v>
      </c>
      <c r="B99" s="689">
        <f t="shared" ref="B99:H99" si="41">+B90/B91</f>
        <v>1.1827835811356808</v>
      </c>
      <c r="C99" s="689">
        <f t="shared" si="41"/>
        <v>1.033324164243985</v>
      </c>
      <c r="D99" s="689">
        <f t="shared" si="41"/>
        <v>1.0538940547438738</v>
      </c>
      <c r="E99" s="689">
        <f t="shared" si="41"/>
        <v>1.3172737448325533</v>
      </c>
      <c r="F99" s="689">
        <f t="shared" si="41"/>
        <v>1.3042381356367792</v>
      </c>
      <c r="G99" s="689">
        <f>+G90/G91</f>
        <v>2.8442370913557524</v>
      </c>
      <c r="H99" s="689">
        <f t="shared" si="41"/>
        <v>3.2859821369718545</v>
      </c>
      <c r="I99" s="689">
        <f>+I90/I91</f>
        <v>3.1991016113499278</v>
      </c>
      <c r="J99" s="689"/>
      <c r="K99" s="1542" t="s">
        <v>92</v>
      </c>
      <c r="L99" s="1542"/>
      <c r="M99" s="1542"/>
      <c r="N99" s="1542"/>
      <c r="O99" s="1542"/>
      <c r="P99" s="1542"/>
      <c r="Q99" s="1543"/>
      <c r="R99" s="713"/>
      <c r="S99" s="713"/>
    </row>
    <row r="100" spans="1:19">
      <c r="A100" s="130" t="s">
        <v>672</v>
      </c>
      <c r="B100" s="689"/>
      <c r="C100" s="689"/>
      <c r="D100" s="689"/>
      <c r="E100" s="689"/>
      <c r="F100" s="689"/>
      <c r="G100" s="689"/>
      <c r="H100" s="689"/>
      <c r="I100" s="689"/>
      <c r="J100" s="689"/>
      <c r="K100" s="1542"/>
      <c r="L100" s="1542"/>
      <c r="M100" s="1542"/>
      <c r="N100" s="1542"/>
      <c r="O100" s="1542"/>
      <c r="P100" s="1542"/>
      <c r="Q100" s="1543"/>
      <c r="R100" s="713"/>
      <c r="S100" s="713"/>
    </row>
    <row r="101" spans="1:19">
      <c r="A101" s="130"/>
      <c r="B101" s="9"/>
      <c r="C101" s="9"/>
      <c r="D101" s="9"/>
      <c r="E101" s="9"/>
      <c r="F101" s="9"/>
      <c r="G101" s="9"/>
      <c r="H101" s="9"/>
      <c r="I101" s="9"/>
      <c r="J101" s="9"/>
      <c r="K101" s="1542" t="s">
        <v>93</v>
      </c>
      <c r="L101" s="1542"/>
      <c r="M101" s="1542"/>
      <c r="N101" s="1542"/>
      <c r="O101" s="1542"/>
      <c r="P101" s="1542"/>
      <c r="Q101" s="1543"/>
      <c r="R101" s="713"/>
      <c r="S101" s="713"/>
    </row>
    <row r="102" spans="1:19" ht="15.75" thickBot="1">
      <c r="A102" s="560" t="s">
        <v>55</v>
      </c>
      <c r="B102" s="561">
        <f t="shared" ref="B102:H102" si="42">+(1+(B92/B93))</f>
        <v>1</v>
      </c>
      <c r="C102" s="561">
        <f t="shared" si="42"/>
        <v>1</v>
      </c>
      <c r="D102" s="561">
        <f t="shared" si="42"/>
        <v>1</v>
      </c>
      <c r="E102" s="561">
        <f t="shared" si="42"/>
        <v>1</v>
      </c>
      <c r="F102" s="561">
        <f t="shared" si="42"/>
        <v>1</v>
      </c>
      <c r="G102" s="561">
        <f>+(1+(G92/G93))</f>
        <v>1.0408428901777491</v>
      </c>
      <c r="H102" s="561">
        <f t="shared" si="42"/>
        <v>1.0094148175255331</v>
      </c>
      <c r="I102" s="561">
        <f>+(1+(I92/I93))</f>
        <v>1</v>
      </c>
      <c r="J102" s="802"/>
      <c r="K102" s="1544"/>
      <c r="L102" s="1544"/>
      <c r="M102" s="1544"/>
      <c r="N102" s="1544"/>
      <c r="O102" s="1544"/>
      <c r="P102" s="1544"/>
      <c r="Q102" s="1545"/>
      <c r="R102" s="713"/>
      <c r="S102" s="713"/>
    </row>
    <row r="103" spans="1:19" s="44" customFormat="1" ht="16.5" thickTop="1" thickBot="1">
      <c r="A103" s="130"/>
      <c r="B103" s="65"/>
      <c r="C103" s="65"/>
      <c r="D103" s="65"/>
      <c r="E103" s="65"/>
      <c r="F103" s="65"/>
      <c r="G103" s="3"/>
      <c r="H103" s="3"/>
      <c r="I103" s="3"/>
      <c r="J103" s="3"/>
      <c r="K103" s="3"/>
      <c r="L103" s="3"/>
      <c r="M103" s="3"/>
      <c r="N103" s="3"/>
      <c r="O103" s="3"/>
      <c r="P103" s="3"/>
      <c r="Q103" s="3"/>
      <c r="R103" s="3"/>
      <c r="S103" s="3"/>
    </row>
    <row r="104" spans="1:19" ht="15.75" thickBot="1">
      <c r="A104" s="130"/>
      <c r="B104" s="3"/>
      <c r="C104" s="3"/>
      <c r="D104" s="3"/>
      <c r="E104" s="3"/>
      <c r="F104" s="3"/>
      <c r="K104" s="368" t="s">
        <v>52</v>
      </c>
      <c r="L104" s="3"/>
      <c r="M104" s="3"/>
      <c r="N104" s="783" t="s">
        <v>928</v>
      </c>
      <c r="O104" s="3"/>
      <c r="P104" s="3"/>
      <c r="Q104" s="3"/>
      <c r="R104" s="3"/>
      <c r="S104" s="3"/>
    </row>
    <row r="105" spans="1:19" ht="15.75" thickBot="1">
      <c r="A105" s="130" t="s">
        <v>56</v>
      </c>
      <c r="B105" s="38">
        <f t="shared" ref="B105:I105" si="43">+B96*B99*B102</f>
        <v>0.17116410345955616</v>
      </c>
      <c r="C105" s="38">
        <f t="shared" si="43"/>
        <v>0.18855857579417229</v>
      </c>
      <c r="D105" s="38">
        <f t="shared" si="43"/>
        <v>0.17912587905313754</v>
      </c>
      <c r="E105" s="38">
        <f t="shared" si="43"/>
        <v>0.24365339887533871</v>
      </c>
      <c r="F105" s="38">
        <f t="shared" si="43"/>
        <v>0.18722063940213959</v>
      </c>
      <c r="G105" s="38">
        <f t="shared" si="43"/>
        <v>0.47351274969168017</v>
      </c>
      <c r="H105" s="38">
        <f t="shared" si="43"/>
        <v>0.40432925247014218</v>
      </c>
      <c r="I105" s="38">
        <f t="shared" si="43"/>
        <v>0.27680924558194425</v>
      </c>
      <c r="J105" s="38"/>
      <c r="K105" s="26">
        <f>+AVERAGE(B105:I105)</f>
        <v>0.26554673054101385</v>
      </c>
      <c r="L105" s="3"/>
      <c r="M105" s="3"/>
      <c r="N105" s="785">
        <f>+AVERAGE(E105:I105)</f>
        <v>0.31710505720424897</v>
      </c>
      <c r="O105" s="3"/>
      <c r="P105" s="3"/>
      <c r="Q105" s="3"/>
      <c r="R105" s="3"/>
      <c r="S105" s="3"/>
    </row>
    <row r="106" spans="1:19">
      <c r="A106" s="130" t="s">
        <v>56</v>
      </c>
      <c r="B106" s="38">
        <f t="shared" ref="B106:G106" si="44">+B89/B93</f>
        <v>0.17116410345955616</v>
      </c>
      <c r="C106" s="38">
        <f t="shared" si="44"/>
        <v>0.18855857579417229</v>
      </c>
      <c r="D106" s="38">
        <f t="shared" si="44"/>
        <v>0.17912587905313757</v>
      </c>
      <c r="E106" s="38">
        <f t="shared" si="44"/>
        <v>0.24365339887533874</v>
      </c>
      <c r="F106" s="38">
        <f t="shared" si="44"/>
        <v>0.18722063940213957</v>
      </c>
      <c r="G106" s="38">
        <f t="shared" si="44"/>
        <v>0.47351274969168011</v>
      </c>
      <c r="H106" s="38">
        <f>+H89/H93</f>
        <v>0.40432925247014218</v>
      </c>
      <c r="I106" s="38">
        <f>+I89/I93</f>
        <v>0.27680924558194436</v>
      </c>
      <c r="J106" s="38"/>
      <c r="K106" s="9"/>
      <c r="L106" s="3"/>
      <c r="M106" s="3"/>
      <c r="N106" s="3"/>
      <c r="O106" s="3"/>
      <c r="P106" s="3"/>
      <c r="Q106" s="3"/>
      <c r="R106" s="3"/>
      <c r="S106" s="3"/>
    </row>
    <row r="107" spans="1:19" ht="15.75" thickBot="1">
      <c r="A107" s="120"/>
      <c r="B107" s="3"/>
      <c r="C107" s="3"/>
      <c r="D107" s="3"/>
      <c r="E107" s="3"/>
      <c r="F107" s="3"/>
      <c r="G107" s="3"/>
      <c r="H107" s="3"/>
      <c r="I107" s="3"/>
      <c r="J107" s="3"/>
      <c r="K107" s="3"/>
      <c r="L107" s="3"/>
      <c r="M107" s="3"/>
      <c r="N107" s="3"/>
      <c r="O107" s="3"/>
      <c r="P107" s="3"/>
      <c r="Q107" s="3"/>
      <c r="R107" s="3"/>
      <c r="S107" s="3"/>
    </row>
    <row r="108" spans="1:19" ht="15.75" thickBot="1">
      <c r="A108" s="130" t="s">
        <v>57</v>
      </c>
      <c r="B108" s="24">
        <f t="shared" ref="B108:G108" si="45">+B90/B91</f>
        <v>1.1827835811356808</v>
      </c>
      <c r="C108" s="24">
        <f t="shared" si="45"/>
        <v>1.033324164243985</v>
      </c>
      <c r="D108" s="24">
        <f t="shared" si="45"/>
        <v>1.0538940547438738</v>
      </c>
      <c r="E108" s="24">
        <f t="shared" si="45"/>
        <v>1.3172737448325533</v>
      </c>
      <c r="F108" s="24">
        <f t="shared" si="45"/>
        <v>1.3042381356367792</v>
      </c>
      <c r="G108" s="24">
        <f t="shared" si="45"/>
        <v>2.8442370913557524</v>
      </c>
      <c r="H108" s="24">
        <f>+H90/H91</f>
        <v>3.2859821369718545</v>
      </c>
      <c r="I108" s="24">
        <f>+I90/I91</f>
        <v>3.1991016113499278</v>
      </c>
      <c r="J108" s="24"/>
      <c r="K108" s="25">
        <f>+AVERAGE(B108:I108)</f>
        <v>1.9026043150338008</v>
      </c>
      <c r="L108" s="3"/>
      <c r="M108" s="3"/>
      <c r="N108" s="786">
        <f>+AVERAGE(E108:I108)</f>
        <v>2.3901665440293733</v>
      </c>
      <c r="O108" s="3"/>
      <c r="P108" s="3"/>
      <c r="Q108" s="3"/>
      <c r="R108" s="3"/>
      <c r="S108" s="3"/>
    </row>
    <row r="109" spans="1:19" ht="15.75" thickBot="1">
      <c r="A109" s="130" t="s">
        <v>58</v>
      </c>
      <c r="B109" s="24">
        <f t="shared" ref="B109:H109" si="46">+B90/C132</f>
        <v>6.5610319096816578</v>
      </c>
      <c r="C109" s="24">
        <f t="shared" si="46"/>
        <v>9.1191392504367865</v>
      </c>
      <c r="D109" s="24">
        <f t="shared" si="46"/>
        <v>1.422937648390225</v>
      </c>
      <c r="E109" s="24">
        <f t="shared" si="46"/>
        <v>1.5437766542548295</v>
      </c>
      <c r="F109" s="24">
        <f t="shared" si="46"/>
        <v>1.5228357928415988</v>
      </c>
      <c r="G109" s="24">
        <f t="shared" si="46"/>
        <v>14.290698947690316</v>
      </c>
      <c r="H109" s="24">
        <f t="shared" si="46"/>
        <v>11.159980971569286</v>
      </c>
      <c r="I109" s="24">
        <f>+I90/H132</f>
        <v>15.431870148985182</v>
      </c>
      <c r="J109" s="24"/>
      <c r="K109" s="25">
        <f>+AVERAGE(B109:I109)</f>
        <v>7.6315339154812349</v>
      </c>
      <c r="L109" s="3"/>
      <c r="M109" s="3"/>
      <c r="N109" s="786">
        <f>+AVERAGE(E109:I109)</f>
        <v>8.7898325030682436</v>
      </c>
      <c r="O109" s="3"/>
      <c r="P109" s="3"/>
      <c r="Q109" s="3"/>
      <c r="R109" s="3"/>
      <c r="S109" s="3"/>
    </row>
    <row r="110" spans="1:19">
      <c r="A110" s="120"/>
      <c r="B110" s="3"/>
      <c r="C110" s="3"/>
      <c r="D110" s="3"/>
      <c r="E110" s="3"/>
      <c r="F110" s="3"/>
      <c r="G110" s="3"/>
      <c r="H110" s="3"/>
      <c r="I110" s="3"/>
      <c r="J110" s="3"/>
      <c r="K110" s="3"/>
      <c r="L110" s="3"/>
      <c r="M110" s="3"/>
      <c r="N110" s="3"/>
      <c r="O110" s="3"/>
      <c r="P110" s="3"/>
      <c r="Q110" s="3"/>
      <c r="R110" s="3"/>
      <c r="S110" s="3"/>
    </row>
    <row r="111" spans="1:19" ht="30" customHeight="1">
      <c r="A111" s="1536" t="s">
        <v>929</v>
      </c>
      <c r="B111" s="1537"/>
      <c r="C111" s="1537"/>
      <c r="D111" s="1537"/>
      <c r="E111" s="1537"/>
      <c r="F111" s="1537"/>
      <c r="G111" s="1537"/>
      <c r="H111" s="1537"/>
      <c r="I111" s="1537"/>
      <c r="J111" s="1537"/>
      <c r="K111" s="1537"/>
      <c r="L111" s="1537"/>
      <c r="M111" s="1537"/>
      <c r="N111" s="1537"/>
      <c r="O111" s="1537"/>
      <c r="P111" s="1537"/>
      <c r="Q111" s="3"/>
      <c r="R111" s="3"/>
      <c r="S111" s="3"/>
    </row>
    <row r="112" spans="1:19" ht="12" customHeight="1">
      <c r="A112" s="362"/>
      <c r="B112" s="363"/>
      <c r="C112" s="363"/>
      <c r="D112" s="363"/>
      <c r="E112" s="363"/>
      <c r="F112" s="363"/>
      <c r="G112" s="363"/>
      <c r="H112" s="711"/>
      <c r="I112" s="711"/>
      <c r="J112" s="792"/>
      <c r="K112" s="363"/>
      <c r="L112" s="363"/>
      <c r="M112" s="363"/>
      <c r="N112" s="363"/>
      <c r="O112" s="363"/>
      <c r="P112" s="591"/>
      <c r="Q112" s="3"/>
      <c r="R112" s="3"/>
      <c r="S112" s="3"/>
    </row>
    <row r="113" spans="1:19" ht="55.5" customHeight="1">
      <c r="A113" s="1534" t="s">
        <v>930</v>
      </c>
      <c r="B113" s="1535"/>
      <c r="C113" s="1535"/>
      <c r="D113" s="1535"/>
      <c r="E113" s="1535"/>
      <c r="F113" s="1535"/>
      <c r="G113" s="1535"/>
      <c r="H113" s="1535"/>
      <c r="I113" s="1535"/>
      <c r="J113" s="1535"/>
      <c r="K113" s="1535"/>
      <c r="L113" s="1535"/>
      <c r="M113" s="1535"/>
      <c r="N113" s="1535"/>
      <c r="O113" s="1535"/>
      <c r="P113" s="1535"/>
      <c r="Q113" s="3"/>
      <c r="R113" s="3"/>
      <c r="S113" s="3"/>
    </row>
    <row r="114" spans="1:19">
      <c r="A114" s="120"/>
      <c r="B114" s="3"/>
      <c r="C114" s="3"/>
      <c r="D114" s="3"/>
      <c r="E114" s="3"/>
      <c r="F114" s="3"/>
      <c r="G114" s="3"/>
      <c r="H114" s="3"/>
      <c r="I114" s="3"/>
      <c r="J114" s="3"/>
      <c r="K114" s="3"/>
      <c r="L114" s="3"/>
      <c r="M114" s="3"/>
      <c r="N114" s="3"/>
      <c r="O114" s="3"/>
      <c r="P114" s="3"/>
      <c r="Q114" s="3"/>
      <c r="R114" s="3"/>
      <c r="S114" s="3"/>
    </row>
    <row r="115" spans="1:19">
      <c r="A115" s="120"/>
      <c r="B115" s="3"/>
      <c r="C115" s="3"/>
      <c r="D115" s="3"/>
      <c r="E115" s="3"/>
      <c r="F115" s="3"/>
      <c r="G115" s="3"/>
      <c r="H115" s="3"/>
      <c r="I115" s="3"/>
      <c r="J115" s="3"/>
      <c r="K115" s="3"/>
      <c r="L115" s="3"/>
      <c r="M115" s="3"/>
      <c r="N115" s="3"/>
      <c r="O115" s="3"/>
      <c r="P115" s="3"/>
      <c r="Q115" s="3"/>
      <c r="R115" s="3"/>
      <c r="S115" s="3"/>
    </row>
    <row r="116" spans="1:19">
      <c r="A116" s="120"/>
      <c r="B116" s="3"/>
      <c r="C116" s="3"/>
      <c r="D116" s="3"/>
      <c r="E116" s="3"/>
      <c r="F116" s="3"/>
      <c r="G116" s="3"/>
      <c r="H116" s="3"/>
      <c r="I116" s="3"/>
      <c r="J116" s="3"/>
      <c r="K116" s="3"/>
      <c r="L116" s="3"/>
      <c r="M116" s="3"/>
      <c r="N116" s="3"/>
      <c r="O116" s="3"/>
      <c r="P116" s="3"/>
      <c r="Q116" s="3"/>
      <c r="R116" s="3"/>
      <c r="S116" s="3"/>
    </row>
    <row r="117" spans="1:19">
      <c r="A117" s="120"/>
      <c r="B117" s="3"/>
      <c r="C117" s="3"/>
      <c r="D117" s="3"/>
      <c r="E117" s="3"/>
      <c r="F117" s="3"/>
      <c r="G117" s="3"/>
      <c r="H117" s="3"/>
      <c r="I117" s="3"/>
      <c r="J117" s="3"/>
      <c r="K117" s="3"/>
      <c r="L117" s="3"/>
      <c r="M117" s="3"/>
      <c r="N117" s="3"/>
      <c r="O117" s="3"/>
      <c r="P117" s="3"/>
      <c r="Q117" s="3"/>
      <c r="R117" s="3"/>
      <c r="S117" s="3"/>
    </row>
    <row r="118" spans="1:19">
      <c r="A118" s="120"/>
      <c r="B118" s="3"/>
      <c r="C118" s="3"/>
      <c r="D118" s="3"/>
      <c r="E118" s="3"/>
      <c r="F118" s="3"/>
      <c r="G118" s="3"/>
      <c r="H118" s="3"/>
      <c r="I118" s="3"/>
      <c r="J118" s="3"/>
      <c r="K118" s="3"/>
      <c r="L118" s="3"/>
      <c r="M118" s="3"/>
      <c r="N118" s="3"/>
      <c r="O118" s="3"/>
      <c r="P118" s="3"/>
      <c r="Q118" s="3"/>
      <c r="R118" s="3"/>
      <c r="S118" s="3"/>
    </row>
    <row r="119" spans="1:19">
      <c r="A119" s="120"/>
      <c r="B119" s="3"/>
      <c r="C119" s="3"/>
      <c r="D119" s="3"/>
      <c r="E119" s="3"/>
      <c r="F119" s="3"/>
      <c r="G119" s="3"/>
      <c r="H119" s="3"/>
      <c r="I119" s="3"/>
      <c r="J119" s="3"/>
      <c r="K119" s="3"/>
      <c r="L119" s="3"/>
      <c r="M119" s="3"/>
      <c r="N119" s="3"/>
      <c r="O119" s="3"/>
      <c r="P119" s="3"/>
      <c r="Q119" s="3"/>
      <c r="R119" s="3"/>
      <c r="S119" s="3"/>
    </row>
    <row r="120" spans="1:19">
      <c r="A120" s="120"/>
      <c r="B120" s="3"/>
      <c r="C120" s="3"/>
      <c r="D120" s="3"/>
      <c r="E120" s="3"/>
      <c r="F120" s="3"/>
      <c r="G120" s="3"/>
      <c r="H120" s="3"/>
      <c r="I120" s="3"/>
      <c r="J120" s="3"/>
      <c r="K120" s="3"/>
      <c r="L120" s="3"/>
      <c r="M120" s="3"/>
      <c r="N120" s="3"/>
      <c r="O120" s="3"/>
      <c r="P120" s="3"/>
      <c r="Q120" s="3"/>
      <c r="R120" s="3"/>
      <c r="S120" s="3"/>
    </row>
    <row r="121" spans="1:19">
      <c r="A121" s="120"/>
      <c r="B121" s="3"/>
      <c r="C121" s="3"/>
      <c r="D121" s="3"/>
      <c r="E121" s="3"/>
      <c r="F121" s="3"/>
      <c r="G121" s="3"/>
      <c r="H121" s="3"/>
      <c r="I121" s="3"/>
      <c r="J121" s="3"/>
      <c r="K121" s="3"/>
      <c r="L121" s="3"/>
      <c r="M121" s="3"/>
      <c r="N121" s="3"/>
      <c r="O121" s="3"/>
      <c r="P121" s="3"/>
      <c r="Q121" s="3"/>
      <c r="R121" s="3"/>
      <c r="S121" s="3"/>
    </row>
    <row r="122" spans="1:19">
      <c r="A122" s="120"/>
      <c r="B122" s="3"/>
      <c r="C122" s="3"/>
      <c r="D122" s="3"/>
      <c r="E122" s="3"/>
      <c r="F122" s="3"/>
      <c r="G122" s="3"/>
      <c r="H122" s="3"/>
      <c r="I122" s="3"/>
      <c r="J122" s="3"/>
      <c r="K122" s="3"/>
      <c r="L122" s="3"/>
      <c r="M122" s="3"/>
      <c r="N122" s="3"/>
      <c r="O122" s="3"/>
      <c r="P122" s="3"/>
      <c r="Q122" s="3"/>
      <c r="R122" s="3"/>
      <c r="S122" s="3"/>
    </row>
    <row r="123" spans="1:19">
      <c r="A123" s="120"/>
      <c r="B123" s="3"/>
      <c r="C123" s="3"/>
      <c r="D123" s="3"/>
      <c r="E123" s="3"/>
      <c r="F123" s="3"/>
      <c r="G123" s="3"/>
      <c r="H123" s="3"/>
      <c r="I123" s="3"/>
      <c r="J123" s="3"/>
      <c r="K123" s="3"/>
      <c r="L123" s="3"/>
      <c r="M123" s="3"/>
      <c r="N123" s="3"/>
      <c r="O123" s="3"/>
      <c r="P123" s="3"/>
      <c r="Q123" s="3"/>
      <c r="R123" s="3"/>
      <c r="S123" s="3"/>
    </row>
    <row r="124" spans="1:19">
      <c r="A124" s="120"/>
      <c r="B124" s="3"/>
      <c r="C124" s="3"/>
      <c r="D124" s="3"/>
      <c r="E124" s="3"/>
      <c r="F124" s="3"/>
      <c r="G124" s="3"/>
      <c r="H124" s="3"/>
      <c r="I124" s="3"/>
      <c r="J124" s="3"/>
      <c r="K124" s="3"/>
      <c r="L124" s="3"/>
      <c r="M124" s="3"/>
      <c r="N124" s="3"/>
      <c r="O124" s="3"/>
      <c r="P124" s="3"/>
      <c r="Q124" s="3"/>
      <c r="R124" s="3"/>
      <c r="S124" s="3"/>
    </row>
    <row r="125" spans="1:19">
      <c r="A125" s="120"/>
      <c r="B125" s="3"/>
      <c r="C125" s="3"/>
      <c r="D125" s="3"/>
      <c r="E125" s="3"/>
      <c r="F125" s="3"/>
      <c r="G125" s="3"/>
      <c r="H125" s="3"/>
      <c r="I125" s="3"/>
      <c r="J125" s="3"/>
      <c r="K125" s="3"/>
      <c r="L125" s="3"/>
      <c r="M125" s="3"/>
      <c r="N125" s="3"/>
      <c r="O125" s="3"/>
      <c r="P125" s="3"/>
      <c r="Q125" s="3"/>
      <c r="R125" s="3"/>
      <c r="S125" s="3"/>
    </row>
    <row r="126" spans="1:19">
      <c r="A126" s="120"/>
      <c r="B126" s="3"/>
      <c r="C126" s="3"/>
      <c r="D126" s="3"/>
      <c r="E126" s="3"/>
      <c r="F126" s="3"/>
      <c r="G126" s="3"/>
      <c r="H126" s="3"/>
      <c r="I126" s="3"/>
      <c r="J126" s="3"/>
      <c r="K126" s="3"/>
      <c r="L126" s="3"/>
      <c r="M126" s="3"/>
      <c r="N126" s="3"/>
      <c r="O126" s="3"/>
      <c r="P126" s="3"/>
      <c r="Q126" s="3"/>
      <c r="R126" s="3"/>
      <c r="S126" s="3"/>
    </row>
    <row r="127" spans="1:19">
      <c r="A127" s="120"/>
      <c r="B127" s="3"/>
      <c r="C127" s="3"/>
      <c r="D127" s="3"/>
      <c r="E127" s="3"/>
      <c r="F127" s="3"/>
      <c r="G127" s="3"/>
      <c r="H127" s="3"/>
      <c r="I127" s="3"/>
      <c r="J127" s="3"/>
      <c r="K127" s="3"/>
      <c r="L127" s="3"/>
      <c r="M127" s="3"/>
      <c r="N127" s="3"/>
      <c r="O127" s="3"/>
      <c r="P127" s="3"/>
      <c r="Q127" s="3"/>
      <c r="R127" s="3"/>
      <c r="S127" s="3"/>
    </row>
    <row r="128" spans="1:19" s="64" customFormat="1">
      <c r="A128" s="3" t="s">
        <v>510</v>
      </c>
      <c r="B128" s="3"/>
      <c r="C128" s="3"/>
      <c r="D128" s="3"/>
      <c r="G128" s="3"/>
      <c r="H128" s="3"/>
      <c r="I128" s="3" t="s">
        <v>510</v>
      </c>
      <c r="J128" s="3"/>
      <c r="K128" s="3"/>
      <c r="L128" s="3"/>
      <c r="M128" s="3"/>
      <c r="N128" s="3"/>
      <c r="O128" s="3"/>
      <c r="P128" s="3"/>
      <c r="Q128" s="3"/>
      <c r="R128" s="3"/>
      <c r="S128" s="3"/>
    </row>
    <row r="129" spans="1:19">
      <c r="A129" s="120"/>
      <c r="B129" s="3"/>
      <c r="C129" s="3"/>
      <c r="D129" s="3"/>
      <c r="E129" s="3"/>
      <c r="F129" s="3"/>
      <c r="G129" s="3"/>
      <c r="H129" s="3"/>
      <c r="I129" s="3"/>
      <c r="J129" s="3"/>
      <c r="K129" s="3"/>
      <c r="L129" s="3"/>
      <c r="M129" s="3"/>
      <c r="N129" s="3"/>
      <c r="O129" s="3"/>
      <c r="P129" s="3"/>
      <c r="Q129" s="3"/>
      <c r="R129" s="3"/>
      <c r="S129" s="3"/>
    </row>
    <row r="130" spans="1:19">
      <c r="A130" s="120"/>
      <c r="B130" s="45">
        <v>2006</v>
      </c>
      <c r="C130" s="45">
        <v>2007</v>
      </c>
      <c r="D130" s="45">
        <v>2008</v>
      </c>
      <c r="E130" s="45">
        <v>2009</v>
      </c>
      <c r="F130" s="45">
        <v>2010</v>
      </c>
      <c r="G130" s="45">
        <v>2011</v>
      </c>
      <c r="H130" s="45">
        <v>2012</v>
      </c>
      <c r="I130" s="45">
        <v>2013</v>
      </c>
      <c r="J130" s="45"/>
      <c r="L130" s="3"/>
      <c r="M130" s="3"/>
      <c r="N130" s="3"/>
      <c r="O130" s="3"/>
      <c r="P130" s="3"/>
      <c r="Q130" s="3"/>
      <c r="R130" s="3"/>
      <c r="S130" s="3"/>
    </row>
    <row r="131" spans="1:19">
      <c r="A131" s="130" t="s">
        <v>443</v>
      </c>
      <c r="B131" s="60">
        <f>+'Anexo 1 - Balance'!B56-'Anexo 1 - Balance'!B157+'Anexo 1 - Balance'!B107</f>
        <v>48656.986000000004</v>
      </c>
      <c r="C131" s="60">
        <f t="shared" ref="C131:I131" si="47">+B30-B40+B36</f>
        <v>47297.267000000007</v>
      </c>
      <c r="D131" s="60">
        <f t="shared" si="47"/>
        <v>65233.191999999995</v>
      </c>
      <c r="E131" s="60">
        <f t="shared" si="47"/>
        <v>19659.503999999997</v>
      </c>
      <c r="F131" s="60">
        <f t="shared" si="47"/>
        <v>9551.8050000000003</v>
      </c>
      <c r="G131" s="60">
        <f t="shared" si="47"/>
        <v>10031.658000000003</v>
      </c>
      <c r="H131" s="60">
        <f t="shared" si="47"/>
        <v>26057.465000000004</v>
      </c>
      <c r="I131" s="60">
        <f t="shared" si="47"/>
        <v>21409</v>
      </c>
      <c r="J131" s="46"/>
      <c r="L131" s="3"/>
      <c r="M131" s="3"/>
      <c r="N131" s="3"/>
      <c r="O131" s="3"/>
      <c r="P131" s="3"/>
      <c r="Q131" s="3"/>
      <c r="R131" s="3"/>
      <c r="S131" s="3"/>
    </row>
    <row r="132" spans="1:19">
      <c r="A132" s="130" t="s">
        <v>80</v>
      </c>
      <c r="B132" s="46">
        <f>+'Anexo 1 - Balance'!B249</f>
        <v>10423.084999999999</v>
      </c>
      <c r="C132" s="46">
        <f t="shared" ref="C132:I132" si="48">+B31</f>
        <v>10401.608</v>
      </c>
      <c r="D132" s="46">
        <f t="shared" si="48"/>
        <v>8336.4549999999999</v>
      </c>
      <c r="E132" s="46">
        <f t="shared" si="48"/>
        <v>56142.512000000002</v>
      </c>
      <c r="F132" s="46">
        <f t="shared" si="48"/>
        <v>55550.464999999997</v>
      </c>
      <c r="G132" s="46">
        <f t="shared" si="48"/>
        <v>59852.75</v>
      </c>
      <c r="H132" s="46">
        <f t="shared" si="48"/>
        <v>6474.8050000000003</v>
      </c>
      <c r="I132" s="46">
        <f t="shared" si="48"/>
        <v>8934</v>
      </c>
      <c r="J132" s="46"/>
      <c r="L132" s="3"/>
      <c r="M132" s="3"/>
      <c r="N132" s="3"/>
      <c r="O132" s="3"/>
      <c r="P132" s="774"/>
      <c r="Q132" s="775"/>
      <c r="R132" s="774"/>
      <c r="S132" s="774"/>
    </row>
    <row r="133" spans="1:19">
      <c r="A133" s="130" t="s">
        <v>83</v>
      </c>
      <c r="B133" s="46">
        <f>+'Anexo 1 - Balance'!B107+'Anexo 1 - Balance'!B205</f>
        <v>0</v>
      </c>
      <c r="C133" s="46">
        <f>+'Anexo 1 - Balance'!C107+'Anexo 1 - Balance'!C205</f>
        <v>0</v>
      </c>
      <c r="D133" s="46">
        <f>+'Anexo 1 - Balance'!D107+'Anexo 1 - Balance'!D205</f>
        <v>0</v>
      </c>
      <c r="E133" s="46">
        <f>+'Anexo 1 - Balance'!E107+'Anexo 1 - Balance'!E205</f>
        <v>0</v>
      </c>
      <c r="F133" s="46">
        <f>+'Anexo 1 - Balance'!F107+'Anexo 1 - Balance'!F205</f>
        <v>0</v>
      </c>
      <c r="G133" s="46">
        <f>+'Anexo 1 - Balance'!G107+'Anexo 1 - Balance'!G205</f>
        <v>0</v>
      </c>
      <c r="H133" s="46">
        <f>+'Anexo 1 - Balance'!H107+'Anexo 1 - Balance'!H205</f>
        <v>1276.5730000000001</v>
      </c>
      <c r="I133" s="46">
        <f>+'Anexo 1 - Balance'!I107+'Anexo 1 - Balance'!I205</f>
        <v>283</v>
      </c>
      <c r="J133" s="46"/>
      <c r="L133" s="3"/>
      <c r="M133" s="3"/>
      <c r="N133" s="3"/>
      <c r="O133" s="3"/>
      <c r="P133" s="774"/>
      <c r="Q133" s="775"/>
      <c r="R133" s="774"/>
      <c r="S133" s="774"/>
    </row>
    <row r="134" spans="1:19">
      <c r="A134" s="130" t="s">
        <v>81</v>
      </c>
      <c r="B134" s="61">
        <f>+'Anexo 1 - Balance'!B229</f>
        <v>59080.071000000004</v>
      </c>
      <c r="C134" s="61">
        <f t="shared" ref="C134:I134" si="49">+B93</f>
        <v>57698.875</v>
      </c>
      <c r="D134" s="61">
        <f t="shared" si="49"/>
        <v>73569.646999999997</v>
      </c>
      <c r="E134" s="61">
        <f t="shared" si="49"/>
        <v>75802.016000000003</v>
      </c>
      <c r="F134" s="61">
        <f t="shared" si="49"/>
        <v>65102.27</v>
      </c>
      <c r="G134" s="61">
        <f t="shared" si="49"/>
        <v>69884.407999999996</v>
      </c>
      <c r="H134" s="61">
        <f t="shared" si="49"/>
        <v>31255.697</v>
      </c>
      <c r="I134" s="61">
        <f t="shared" si="49"/>
        <v>30059</v>
      </c>
      <c r="J134" s="46"/>
      <c r="L134" s="3"/>
      <c r="M134" s="3"/>
      <c r="N134" s="3"/>
      <c r="O134" s="3"/>
      <c r="P134" s="774"/>
      <c r="Q134" s="775"/>
      <c r="R134" s="774"/>
      <c r="S134" s="774"/>
    </row>
    <row r="135" spans="1:19">
      <c r="A135" s="241" t="s">
        <v>427</v>
      </c>
      <c r="B135" s="11">
        <f t="shared" ref="B135:G135" si="50">+B131+B132-B133-B134</f>
        <v>0</v>
      </c>
      <c r="C135" s="11">
        <f t="shared" si="50"/>
        <v>0</v>
      </c>
      <c r="D135" s="11">
        <f t="shared" si="50"/>
        <v>0</v>
      </c>
      <c r="E135" s="11">
        <f t="shared" si="50"/>
        <v>0</v>
      </c>
      <c r="F135" s="11">
        <f t="shared" si="50"/>
        <v>0</v>
      </c>
      <c r="G135" s="11">
        <f t="shared" si="50"/>
        <v>0</v>
      </c>
      <c r="H135" s="11">
        <f>+H131+H132-H133-H134</f>
        <v>0</v>
      </c>
      <c r="I135" s="11">
        <f>+I131+I132-I133-I134</f>
        <v>1</v>
      </c>
      <c r="J135" s="11"/>
      <c r="L135" s="3"/>
      <c r="M135" s="3"/>
      <c r="N135" s="3"/>
      <c r="O135" s="3"/>
      <c r="P135" s="774"/>
      <c r="Q135" s="775"/>
      <c r="R135" s="774"/>
      <c r="S135" s="774"/>
    </row>
    <row r="136" spans="1:19">
      <c r="A136" s="120"/>
      <c r="B136" s="3"/>
      <c r="C136" s="3"/>
      <c r="D136" s="3"/>
      <c r="E136" s="3"/>
      <c r="F136" s="3"/>
      <c r="G136" s="3"/>
      <c r="H136" s="3"/>
      <c r="I136" s="3"/>
      <c r="J136" s="3"/>
      <c r="K136" s="3"/>
      <c r="L136" s="3"/>
      <c r="M136" s="3"/>
      <c r="N136" s="3"/>
      <c r="O136" s="3"/>
      <c r="P136" s="774"/>
      <c r="Q136" s="775"/>
      <c r="R136" s="774"/>
      <c r="S136" s="774"/>
    </row>
    <row r="137" spans="1:19">
      <c r="A137" s="120"/>
      <c r="B137" s="3"/>
      <c r="C137" s="3"/>
      <c r="D137" s="3"/>
      <c r="E137" s="3"/>
      <c r="F137" s="3"/>
      <c r="G137" s="3"/>
      <c r="H137" s="3"/>
      <c r="I137" s="3"/>
      <c r="J137" s="3"/>
      <c r="K137" s="3"/>
      <c r="L137" s="3"/>
      <c r="M137" s="3"/>
      <c r="N137" s="3"/>
      <c r="O137" s="3"/>
      <c r="P137" s="774"/>
      <c r="Q137" s="775"/>
      <c r="R137" s="774"/>
      <c r="S137" s="774"/>
    </row>
    <row r="138" spans="1:19">
      <c r="A138" s="120"/>
      <c r="B138" s="3"/>
      <c r="C138" s="3"/>
      <c r="D138" s="3"/>
      <c r="E138" s="3"/>
      <c r="F138" s="3"/>
      <c r="G138" s="3"/>
      <c r="H138" s="3"/>
      <c r="I138" s="3"/>
      <c r="J138" s="3"/>
      <c r="K138" s="3"/>
      <c r="L138" s="3"/>
      <c r="M138" s="3"/>
      <c r="N138" s="3"/>
      <c r="O138" s="3"/>
      <c r="P138" s="3"/>
      <c r="Q138" s="3"/>
      <c r="R138" s="3"/>
      <c r="S138" s="3"/>
    </row>
    <row r="139" spans="1:19">
      <c r="A139" s="120"/>
      <c r="B139" s="3"/>
      <c r="C139" s="3"/>
      <c r="D139" s="3"/>
      <c r="E139" s="3"/>
      <c r="F139" s="3"/>
      <c r="G139" s="3"/>
      <c r="H139" s="3"/>
      <c r="I139" s="3"/>
      <c r="J139" s="3"/>
      <c r="K139" s="3"/>
      <c r="L139" s="3"/>
      <c r="M139" s="3"/>
      <c r="N139" s="3"/>
      <c r="O139" s="3"/>
      <c r="P139" s="3"/>
      <c r="Q139" s="3"/>
      <c r="R139" s="3"/>
      <c r="S139" s="3"/>
    </row>
    <row r="140" spans="1:19">
      <c r="A140" s="120"/>
      <c r="B140" s="3"/>
      <c r="C140" s="3"/>
      <c r="D140" s="3"/>
      <c r="E140" s="3"/>
      <c r="F140" s="3"/>
      <c r="G140" s="3"/>
      <c r="H140" s="3"/>
      <c r="I140" s="3"/>
      <c r="J140" s="3"/>
      <c r="K140" s="3"/>
      <c r="L140" s="3"/>
      <c r="M140" s="3"/>
      <c r="N140" s="3"/>
      <c r="O140" s="3"/>
      <c r="P140" s="3"/>
      <c r="Q140" s="3"/>
      <c r="R140" s="3"/>
      <c r="S140" s="3"/>
    </row>
    <row r="141" spans="1:19">
      <c r="A141" s="120"/>
      <c r="B141" s="3"/>
      <c r="C141" s="3"/>
      <c r="D141" s="3"/>
      <c r="E141" s="3"/>
      <c r="F141" s="3"/>
      <c r="G141" s="3"/>
      <c r="H141" s="3"/>
      <c r="I141" s="3"/>
      <c r="J141" s="3"/>
      <c r="K141" s="3"/>
      <c r="L141" s="3"/>
      <c r="M141" s="3"/>
      <c r="N141" s="3"/>
      <c r="O141" s="3"/>
      <c r="P141" s="3"/>
      <c r="Q141" s="3"/>
      <c r="R141" s="3"/>
      <c r="S141" s="3"/>
    </row>
    <row r="142" spans="1:19">
      <c r="A142" s="120"/>
      <c r="B142" s="3"/>
      <c r="C142" s="3"/>
      <c r="D142" s="3"/>
      <c r="E142" s="3"/>
      <c r="F142" s="3"/>
      <c r="G142" s="3"/>
      <c r="H142" s="3"/>
      <c r="I142" s="3"/>
      <c r="J142" s="3"/>
      <c r="K142" s="3"/>
      <c r="L142" s="3"/>
      <c r="M142" s="3"/>
      <c r="N142" s="3"/>
      <c r="O142" s="3"/>
      <c r="P142" s="3"/>
      <c r="Q142" s="3"/>
      <c r="R142" s="3"/>
      <c r="S142" s="3"/>
    </row>
    <row r="143" spans="1:19">
      <c r="A143" s="120"/>
      <c r="B143" s="3"/>
      <c r="C143" s="3"/>
      <c r="D143" s="3"/>
      <c r="E143" s="3"/>
      <c r="F143" s="3"/>
      <c r="G143" s="3"/>
      <c r="H143" s="3"/>
      <c r="I143" s="3"/>
      <c r="J143" s="3"/>
      <c r="K143" s="3"/>
      <c r="L143" s="3"/>
      <c r="M143" s="3"/>
      <c r="N143" s="3"/>
      <c r="O143" s="3"/>
      <c r="P143" s="3"/>
      <c r="Q143" s="3"/>
      <c r="R143" s="3"/>
      <c r="S143" s="3"/>
    </row>
    <row r="144" spans="1:19">
      <c r="A144" s="120"/>
      <c r="B144" s="3"/>
      <c r="C144" s="3"/>
      <c r="D144" s="3"/>
      <c r="E144" s="3"/>
      <c r="F144" s="3"/>
      <c r="G144" s="3"/>
      <c r="H144" s="3"/>
      <c r="I144" s="3"/>
      <c r="J144" s="3"/>
      <c r="K144" s="3"/>
      <c r="L144" s="3"/>
      <c r="M144" s="3"/>
      <c r="N144" s="3"/>
      <c r="O144" s="3"/>
      <c r="P144" s="3"/>
      <c r="Q144" s="3"/>
      <c r="R144" s="3"/>
      <c r="S144" s="3"/>
    </row>
    <row r="145" spans="1:19">
      <c r="A145" s="120"/>
      <c r="B145" s="3"/>
      <c r="C145" s="3"/>
      <c r="D145" s="3"/>
      <c r="E145" s="3"/>
      <c r="F145" s="3"/>
      <c r="G145" s="3"/>
      <c r="H145" s="3"/>
      <c r="I145" s="3"/>
      <c r="J145" s="3"/>
      <c r="K145" s="3"/>
      <c r="L145" s="3"/>
      <c r="M145" s="3"/>
      <c r="N145" s="3"/>
      <c r="O145" s="3"/>
      <c r="P145" s="3"/>
      <c r="Q145" s="3"/>
      <c r="R145" s="3"/>
      <c r="S145" s="3"/>
    </row>
    <row r="146" spans="1:19">
      <c r="A146" s="120"/>
      <c r="B146" s="3"/>
      <c r="C146" s="3"/>
      <c r="D146" s="3"/>
      <c r="E146" s="3"/>
      <c r="F146" s="3"/>
      <c r="G146" s="3"/>
      <c r="H146" s="3"/>
      <c r="I146" s="3"/>
      <c r="J146" s="3"/>
      <c r="K146" s="3"/>
      <c r="L146" s="3"/>
      <c r="M146" s="3"/>
      <c r="N146" s="3"/>
      <c r="O146" s="3"/>
      <c r="P146" s="3"/>
      <c r="Q146" s="3"/>
      <c r="R146" s="3"/>
      <c r="S146" s="3"/>
    </row>
    <row r="147" spans="1:19">
      <c r="A147" s="120"/>
      <c r="B147" s="3"/>
      <c r="C147" s="3"/>
      <c r="D147" s="3"/>
      <c r="E147" s="3"/>
      <c r="F147" s="3"/>
      <c r="G147" s="3"/>
      <c r="H147" s="3"/>
      <c r="I147" s="3"/>
      <c r="J147" s="3"/>
      <c r="K147" s="3"/>
      <c r="L147" s="3"/>
      <c r="M147" s="3"/>
      <c r="N147" s="3"/>
      <c r="O147" s="3"/>
      <c r="P147" s="3"/>
      <c r="Q147" s="3"/>
      <c r="R147" s="3"/>
      <c r="S147" s="3"/>
    </row>
    <row r="148" spans="1:19">
      <c r="A148" s="120"/>
      <c r="B148" s="3"/>
      <c r="C148" s="3"/>
      <c r="D148" s="3"/>
      <c r="E148" s="3"/>
      <c r="F148" s="3"/>
      <c r="G148" s="3"/>
      <c r="H148" s="3"/>
      <c r="I148" s="3"/>
      <c r="J148" s="3"/>
      <c r="K148" s="3"/>
      <c r="L148" s="3"/>
      <c r="M148" s="3"/>
      <c r="N148" s="3"/>
      <c r="O148" s="3"/>
      <c r="P148" s="3"/>
      <c r="Q148" s="3"/>
      <c r="R148" s="3"/>
      <c r="S148" s="3"/>
    </row>
    <row r="149" spans="1:19">
      <c r="A149" s="120"/>
      <c r="B149" s="3"/>
      <c r="C149" s="3"/>
      <c r="D149" s="3"/>
      <c r="E149" s="3"/>
      <c r="F149" s="3"/>
      <c r="G149" s="3"/>
      <c r="H149" s="3"/>
      <c r="I149" s="3"/>
      <c r="J149" s="3"/>
      <c r="K149" s="3"/>
      <c r="L149" s="3"/>
      <c r="M149" s="3"/>
      <c r="N149" s="3"/>
      <c r="O149" s="3"/>
      <c r="P149" s="3"/>
      <c r="Q149" s="3"/>
      <c r="R149" s="3"/>
      <c r="S149" s="3"/>
    </row>
    <row r="150" spans="1:19">
      <c r="A150" s="120"/>
      <c r="B150" s="3"/>
      <c r="C150" s="3"/>
      <c r="D150" s="3"/>
      <c r="E150" s="3"/>
      <c r="F150" s="3"/>
      <c r="G150" s="3"/>
      <c r="H150" s="3"/>
      <c r="I150" s="3"/>
      <c r="J150" s="3"/>
      <c r="K150" s="3"/>
      <c r="L150" s="3"/>
      <c r="M150" s="3"/>
      <c r="N150" s="3"/>
      <c r="O150" s="3"/>
      <c r="P150" s="3"/>
      <c r="Q150" s="3"/>
      <c r="R150" s="3"/>
      <c r="S150" s="3"/>
    </row>
    <row r="151" spans="1:19">
      <c r="A151" s="120"/>
      <c r="B151" s="3"/>
      <c r="C151" s="3"/>
      <c r="D151" s="3"/>
      <c r="E151" s="3"/>
      <c r="F151" s="3"/>
      <c r="G151" s="3"/>
      <c r="H151" s="3"/>
      <c r="I151" s="3"/>
      <c r="J151" s="3"/>
      <c r="K151" s="3"/>
      <c r="L151" s="3"/>
      <c r="M151" s="3"/>
      <c r="N151" s="3"/>
      <c r="O151" s="3"/>
      <c r="P151" s="3"/>
      <c r="Q151" s="3"/>
      <c r="R151" s="3"/>
      <c r="S151" s="3"/>
    </row>
    <row r="152" spans="1:19" s="64" customFormat="1">
      <c r="A152" s="120"/>
      <c r="C152" s="3" t="s">
        <v>510</v>
      </c>
      <c r="D152" s="3"/>
      <c r="E152" s="3" t="s">
        <v>510</v>
      </c>
      <c r="F152" s="3"/>
      <c r="G152" s="3"/>
      <c r="H152" s="3"/>
      <c r="I152" s="3"/>
      <c r="J152" s="3"/>
      <c r="K152" s="3"/>
      <c r="L152" s="3"/>
      <c r="M152" s="3"/>
      <c r="N152" s="3"/>
      <c r="O152" s="3"/>
      <c r="P152" s="3"/>
      <c r="Q152" s="3"/>
      <c r="R152" s="3"/>
      <c r="S152" s="3"/>
    </row>
    <row r="153" spans="1:19" ht="15.75" thickBot="1">
      <c r="A153" s="131"/>
      <c r="B153" s="132"/>
      <c r="C153" s="132"/>
      <c r="D153" s="132"/>
      <c r="E153" s="132"/>
      <c r="F153" s="132"/>
      <c r="G153" s="132"/>
      <c r="H153" s="727"/>
      <c r="I153" s="727"/>
      <c r="J153" s="727"/>
      <c r="K153" s="132"/>
      <c r="L153" s="132"/>
      <c r="M153" s="727"/>
      <c r="N153" s="727"/>
      <c r="O153" s="132"/>
      <c r="P153" s="727"/>
      <c r="Q153" s="3"/>
      <c r="R153" s="3"/>
      <c r="S153" s="3"/>
    </row>
    <row r="154" spans="1:19" ht="15.75" thickTop="1"/>
    <row r="162" spans="1:16" ht="15.75" thickBot="1"/>
    <row r="163" spans="1:16">
      <c r="A163" s="27"/>
      <c r="B163" s="28"/>
      <c r="C163" s="28"/>
      <c r="D163" s="28"/>
      <c r="E163" s="28"/>
      <c r="F163" s="28"/>
      <c r="G163" s="28"/>
      <c r="H163" s="28"/>
      <c r="I163" s="28"/>
      <c r="J163" s="28"/>
      <c r="K163" s="28"/>
      <c r="L163" s="28"/>
      <c r="M163" s="28"/>
      <c r="N163" s="28"/>
      <c r="O163" s="28"/>
      <c r="P163" s="28"/>
    </row>
    <row r="164" spans="1:16">
      <c r="A164" s="29"/>
      <c r="B164" s="30"/>
      <c r="C164" s="30"/>
      <c r="D164" s="30"/>
      <c r="E164" s="30"/>
      <c r="F164" s="30"/>
      <c r="G164" s="30"/>
      <c r="H164" s="30"/>
      <c r="I164" s="30"/>
      <c r="J164" s="30"/>
      <c r="K164" s="30"/>
      <c r="L164" s="30"/>
      <c r="M164" s="30"/>
      <c r="N164" s="30"/>
      <c r="O164" s="30"/>
      <c r="P164" s="30"/>
    </row>
    <row r="165" spans="1:16">
      <c r="A165" s="29" t="s">
        <v>44</v>
      </c>
      <c r="B165" s="25">
        <f t="shared" ref="B165:I165" si="51">+B6/360</f>
        <v>189.5702277777778</v>
      </c>
      <c r="C165" s="25">
        <f t="shared" si="51"/>
        <v>211.1702611111111</v>
      </c>
      <c r="D165" s="25">
        <f t="shared" si="51"/>
        <v>221.90914999999998</v>
      </c>
      <c r="E165" s="25">
        <f t="shared" si="51"/>
        <v>238.21530833333333</v>
      </c>
      <c r="F165" s="25">
        <f t="shared" si="51"/>
        <v>253.18308333333334</v>
      </c>
      <c r="G165" s="25">
        <f t="shared" si="51"/>
        <v>257.02635833333335</v>
      </c>
      <c r="H165" s="25">
        <f t="shared" si="51"/>
        <v>276.95352777777777</v>
      </c>
      <c r="I165" s="25">
        <f t="shared" si="51"/>
        <v>277.55097222222224</v>
      </c>
      <c r="J165" s="25"/>
      <c r="K165" s="25"/>
      <c r="L165" s="30"/>
      <c r="M165" s="30"/>
      <c r="N165" s="30"/>
      <c r="O165" s="30"/>
      <c r="P165" s="30"/>
    </row>
    <row r="166" spans="1:16">
      <c r="A166" s="29" t="s">
        <v>45</v>
      </c>
      <c r="B166" s="30">
        <f t="shared" ref="B166:I166" si="52">+B6*(1-K8)</f>
        <v>31460.511999999995</v>
      </c>
      <c r="C166" s="30">
        <f t="shared" si="52"/>
        <v>28912.302</v>
      </c>
      <c r="D166" s="30">
        <f t="shared" si="52"/>
        <v>28175.117999999999</v>
      </c>
      <c r="E166" s="30">
        <f t="shared" si="52"/>
        <v>29245.000000000004</v>
      </c>
      <c r="F166" s="30">
        <f t="shared" si="52"/>
        <v>34776.125999999997</v>
      </c>
      <c r="G166" s="30">
        <f t="shared" si="52"/>
        <v>32993.587999999996</v>
      </c>
      <c r="H166" s="30">
        <f t="shared" si="52"/>
        <v>35549.03</v>
      </c>
      <c r="I166" s="30">
        <f t="shared" si="52"/>
        <v>37860.730000000003</v>
      </c>
      <c r="J166" s="30"/>
      <c r="K166" s="30"/>
      <c r="L166" s="30"/>
      <c r="M166" s="30"/>
      <c r="N166" s="30"/>
      <c r="O166" s="30"/>
      <c r="P166" s="30"/>
    </row>
    <row r="167" spans="1:16">
      <c r="A167" s="29" t="s">
        <v>46</v>
      </c>
      <c r="B167" s="31">
        <f t="shared" ref="B167:I167" si="53">+B165*(1-K8)</f>
        <v>87.390311111111089</v>
      </c>
      <c r="C167" s="31">
        <f t="shared" si="53"/>
        <v>80.311949999999996</v>
      </c>
      <c r="D167" s="31">
        <f t="shared" si="53"/>
        <v>78.264216666666655</v>
      </c>
      <c r="E167" s="31">
        <f t="shared" si="53"/>
        <v>81.236111111111114</v>
      </c>
      <c r="F167" s="31">
        <f t="shared" si="53"/>
        <v>96.600349999999992</v>
      </c>
      <c r="G167" s="31">
        <f t="shared" si="53"/>
        <v>91.648855555555556</v>
      </c>
      <c r="H167" s="31">
        <f t="shared" si="53"/>
        <v>98.747305555555542</v>
      </c>
      <c r="I167" s="31">
        <f t="shared" si="53"/>
        <v>105.16869444444445</v>
      </c>
      <c r="J167" s="31"/>
      <c r="K167" s="31"/>
      <c r="L167" s="30"/>
      <c r="M167" s="30"/>
      <c r="N167" s="30"/>
      <c r="O167" s="30"/>
      <c r="P167" s="30"/>
    </row>
    <row r="168" spans="1:16">
      <c r="A168" s="29"/>
      <c r="B168" s="32"/>
      <c r="C168" s="30"/>
      <c r="D168" s="30"/>
      <c r="E168" s="30"/>
      <c r="F168" s="30"/>
      <c r="G168" s="30"/>
      <c r="H168" s="30"/>
      <c r="I168" s="30"/>
      <c r="J168" s="30"/>
      <c r="K168" s="30"/>
      <c r="L168" s="30"/>
      <c r="M168" s="30"/>
      <c r="N168" s="30"/>
      <c r="O168" s="30"/>
      <c r="P168" s="30"/>
    </row>
  </sheetData>
  <mergeCells count="7">
    <mergeCell ref="A113:P113"/>
    <mergeCell ref="A111:P111"/>
    <mergeCell ref="A74:P74"/>
    <mergeCell ref="A1:Q1"/>
    <mergeCell ref="K96:Q97"/>
    <mergeCell ref="K99:Q100"/>
    <mergeCell ref="K101:Q102"/>
  </mergeCells>
  <pageMargins left="0.7" right="0.7" top="0.75" bottom="0.75" header="0.3" footer="0.3"/>
  <pageSetup orientation="portrait" horizontalDpi="4294967292" verticalDpi="200" r:id="rId1"/>
  <ignoredErrors>
    <ignoredError sqref="B64:F64 G64:I64" numberStoredAsText="1"/>
    <ignoredError sqref="N13:O13 N10:O10 N9:R9 L10:M10 K9:M9 K13:M13 I9" formula="1"/>
    <ignoredError sqref="B19:F19 B51:F53 B59:F61 B65:F65 C58:F58" evalError="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L14"/>
  <sheetViews>
    <sheetView showGridLines="0" workbookViewId="0">
      <selection activeCell="H11" sqref="H11"/>
    </sheetView>
  </sheetViews>
  <sheetFormatPr baseColWidth="10" defaultRowHeight="15"/>
  <cols>
    <col min="5" max="5" width="13.85546875" customWidth="1"/>
    <col min="10" max="10" width="12.85546875" customWidth="1"/>
  </cols>
  <sheetData>
    <row r="5" spans="2:12" ht="15.75" thickBot="1"/>
    <row r="6" spans="2:12" ht="38.25">
      <c r="B6" s="1494" t="s">
        <v>1449</v>
      </c>
      <c r="C6" s="1495" t="s">
        <v>1450</v>
      </c>
      <c r="D6" s="1495" t="s">
        <v>1451</v>
      </c>
      <c r="E6" s="1496" t="s">
        <v>449</v>
      </c>
      <c r="G6" s="1494" t="s">
        <v>1453</v>
      </c>
      <c r="H6" s="1495" t="s">
        <v>1455</v>
      </c>
      <c r="I6" s="1495" t="s">
        <v>1456</v>
      </c>
      <c r="J6" s="1496" t="s">
        <v>1457</v>
      </c>
    </row>
    <row r="7" spans="2:12" ht="51.75" thickBot="1">
      <c r="B7" s="1497" t="s">
        <v>1452</v>
      </c>
      <c r="C7" s="1498">
        <f>+'Anexo 2 - ER'!J27/'Anexo 2 - ER'!J4</f>
        <v>0.15027600035428931</v>
      </c>
      <c r="D7" s="1499">
        <f>+'Anexo 2 - ER'!J4/('Anexo 1 - Balance'!I106-'Anexo 1 - Balance'!I206)</f>
        <v>3.3240743205030108</v>
      </c>
      <c r="E7" s="1500">
        <f>+C7*D7</f>
        <v>0.49952859376559444</v>
      </c>
      <c r="G7" s="1497" t="s">
        <v>1454</v>
      </c>
      <c r="H7" s="1498">
        <f>+'Anexo 2 - ER'!J14/'Anexo 2 - ER'!J4</f>
        <v>0.12914504693081905</v>
      </c>
      <c r="I7" s="1501">
        <f>+'Anexo 2 - ER'!J4/'Anexo 1 - Balance'!I106</f>
        <v>1.3388855389398082</v>
      </c>
      <c r="J7" s="1502">
        <f>+H7*I7</f>
        <v>0.17291043576137649</v>
      </c>
      <c r="L7" s="1302"/>
    </row>
    <row r="8" spans="2:12">
      <c r="E8" s="1240"/>
    </row>
    <row r="9" spans="2:12">
      <c r="I9" s="907"/>
    </row>
    <row r="11" spans="2:12">
      <c r="D11" s="1240"/>
      <c r="E11" s="1240"/>
    </row>
    <row r="14" spans="2:12">
      <c r="D14" s="1302"/>
      <c r="E14" s="907"/>
    </row>
  </sheetData>
  <pageMargins left="0.7" right="0.7" top="0.75" bottom="0.75" header="0.3" footer="0.3"/>
  <pageSetup orientation="portrait"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H20"/>
  <sheetViews>
    <sheetView showGridLines="0" workbookViewId="0">
      <selection activeCell="C5" sqref="C5"/>
    </sheetView>
  </sheetViews>
  <sheetFormatPr baseColWidth="10" defaultRowHeight="15"/>
  <cols>
    <col min="1" max="1" width="17.140625" bestFit="1" customWidth="1"/>
    <col min="2" max="2" width="12.42578125" bestFit="1" customWidth="1"/>
    <col min="3" max="3" width="12.42578125" style="64" customWidth="1"/>
    <col min="4" max="4" width="12.5703125" customWidth="1"/>
  </cols>
  <sheetData>
    <row r="5" spans="1:8">
      <c r="B5" t="s">
        <v>1404</v>
      </c>
      <c r="D5" s="17">
        <v>1</v>
      </c>
      <c r="E5" s="17">
        <v>2</v>
      </c>
      <c r="F5" s="17">
        <v>3</v>
      </c>
      <c r="G5" s="17">
        <v>4</v>
      </c>
      <c r="H5" s="17">
        <v>5</v>
      </c>
    </row>
    <row r="6" spans="1:8">
      <c r="A6" s="120" t="s">
        <v>36</v>
      </c>
      <c r="B6" s="715">
        <f>+'Estados Financieros'!K51</f>
        <v>2.9628248147615532</v>
      </c>
      <c r="C6" s="715" t="s">
        <v>302</v>
      </c>
      <c r="D6" s="62">
        <f>+($B$6*D12)/365</f>
        <v>907.06126635270562</v>
      </c>
      <c r="E6" s="62">
        <f>+($B$6*E12)/365</f>
        <v>967.99985390580525</v>
      </c>
      <c r="F6" s="62">
        <f>+($B$6*F12)/365</f>
        <v>1016.781161883264</v>
      </c>
      <c r="G6" s="62">
        <f>+($B$6*G12)/365</f>
        <v>1086.4086203512904</v>
      </c>
      <c r="H6" s="62">
        <f>+($B$6*H12)/365</f>
        <v>1158.9782686426583</v>
      </c>
    </row>
    <row r="7" spans="1:8">
      <c r="A7" s="120" t="s">
        <v>37</v>
      </c>
      <c r="B7" s="715">
        <f>+'Estados Financieros'!K52</f>
        <v>544.60737896097908</v>
      </c>
      <c r="C7" s="715" t="s">
        <v>25</v>
      </c>
      <c r="D7" s="62">
        <f>+($B$7*D13)/365</f>
        <v>63097.867138172296</v>
      </c>
      <c r="E7" s="62">
        <f>+($B$7*E13)/365</f>
        <v>67252.657218550026</v>
      </c>
      <c r="F7" s="62">
        <f>+($B$7*F13)/365</f>
        <v>70553.256692144583</v>
      </c>
      <c r="G7" s="62">
        <f>+($B$7*G13)/365</f>
        <v>75290.0369815101</v>
      </c>
      <c r="H7" s="62">
        <f>+($B$7*H13)/365</f>
        <v>80218.335895171913</v>
      </c>
    </row>
    <row r="8" spans="1:8">
      <c r="A8" s="120" t="s">
        <v>38</v>
      </c>
      <c r="B8" s="715">
        <f>+'Estados Financieros'!K53</f>
        <v>9.8230767729176591</v>
      </c>
      <c r="C8" s="715" t="s">
        <v>1405</v>
      </c>
      <c r="D8" s="62">
        <f>+($B$8*D17)/365</f>
        <v>2836.2192907334893</v>
      </c>
      <c r="E8" s="62">
        <f>+($B$8*E17)/365</f>
        <v>1324.8513234405809</v>
      </c>
      <c r="F8" s="62">
        <f>+($B$8*F17)/365</f>
        <v>1361.3957585155524</v>
      </c>
      <c r="G8" s="62">
        <f>+($B$8*G17)/365</f>
        <v>1485.4842802389423</v>
      </c>
      <c r="H8" s="62">
        <f>+($B$8*H17)/365</f>
        <v>1579.5302011962374</v>
      </c>
    </row>
    <row r="9" spans="1:8">
      <c r="A9" s="125" t="s">
        <v>51</v>
      </c>
      <c r="B9" s="715">
        <f>+'Estados Financieros'!K72</f>
        <v>38.015316074875727</v>
      </c>
      <c r="C9" s="715" t="s">
        <v>1410</v>
      </c>
      <c r="D9" s="62">
        <f>+($B$9*D12)/365</f>
        <v>11638.292135220374</v>
      </c>
      <c r="E9" s="62">
        <f>+($B$9*E12)/365</f>
        <v>12420.180978410048</v>
      </c>
      <c r="F9" s="62">
        <f>+($B$9*F12)/365</f>
        <v>13046.082595025942</v>
      </c>
      <c r="G9" s="62">
        <f>+($B$9*G12)/365</f>
        <v>13939.456319980834</v>
      </c>
      <c r="H9" s="62">
        <f>+($B$9*H12)/365</f>
        <v>14870.580598235179</v>
      </c>
    </row>
    <row r="10" spans="1:8">
      <c r="A10" s="4" t="s">
        <v>1409</v>
      </c>
      <c r="D10" s="70">
        <f>+D6+D7+D9-D8</f>
        <v>72807.001249011897</v>
      </c>
      <c r="E10" s="70">
        <f>+E6+E7+E9-E8</f>
        <v>79315.98672742529</v>
      </c>
      <c r="F10" s="70">
        <f>+F6+F7+F9-F8</f>
        <v>83254.724690538234</v>
      </c>
      <c r="G10" s="70">
        <f>+G6+G7+G9-G8</f>
        <v>88830.417641603271</v>
      </c>
      <c r="H10" s="70">
        <f>+H6+H7+H9-H8</f>
        <v>94668.364560853515</v>
      </c>
    </row>
    <row r="11" spans="1:8" s="64" customFormat="1">
      <c r="A11" s="3"/>
    </row>
    <row r="12" spans="1:8">
      <c r="A12" s="3" t="s">
        <v>12</v>
      </c>
      <c r="D12" s="1229">
        <f>+'Estados Financieros (P)'!J7</f>
        <v>111743.81980643109</v>
      </c>
      <c r="E12" s="1229">
        <f>+'Estados Financieros (P)'!K7</f>
        <v>119251.04208500223</v>
      </c>
      <c r="F12" s="1229">
        <f>+'Estados Financieros (P)'!L7</f>
        <v>125260.56965580644</v>
      </c>
      <c r="G12" s="1229">
        <f>+'Estados Financieros (P)'!M7</f>
        <v>133838.20212810466</v>
      </c>
      <c r="H12" s="1229">
        <f>+'Estados Financieros (P)'!N7</f>
        <v>142778.29250887225</v>
      </c>
    </row>
    <row r="13" spans="1:8">
      <c r="A13" t="s">
        <v>1272</v>
      </c>
      <c r="D13" s="1229">
        <f>+'Estados Financieros (P)'!J9</f>
        <v>42288.669590507023</v>
      </c>
      <c r="E13" s="1229">
        <f>+'Estados Financieros (P)'!K9</f>
        <v>45073.241445245927</v>
      </c>
      <c r="F13" s="1229">
        <f>+'Estados Financieros (P)'!L9</f>
        <v>47285.32827036464</v>
      </c>
      <c r="G13" s="1229">
        <f>+'Estados Financieros (P)'!M9</f>
        <v>50459.954381595293</v>
      </c>
      <c r="H13" s="1229">
        <f>+'Estados Financieros (P)'!N9</f>
        <v>53762.937728825062</v>
      </c>
    </row>
    <row r="14" spans="1:8">
      <c r="A14" t="s">
        <v>1405</v>
      </c>
      <c r="D14" s="1229">
        <f>+'Estados Financieros (P)'!J54</f>
        <v>3291.7050344328945</v>
      </c>
      <c r="E14" s="1229">
        <f>+'Estados Financieros (P)'!K54</f>
        <v>3325.4135127114296</v>
      </c>
      <c r="F14" s="1229">
        <f>+'Estados Financieros (P)'!L54</f>
        <v>3296.5940714136927</v>
      </c>
      <c r="G14" s="1229">
        <f>+'Estados Financieros (P)'!M54</f>
        <v>3313.004932995344</v>
      </c>
      <c r="H14" s="1229">
        <f>+'Estados Financieros (P)'!N54</f>
        <v>3311.5380636478558</v>
      </c>
    </row>
    <row r="16" spans="1:8">
      <c r="A16" t="s">
        <v>1406</v>
      </c>
      <c r="D16" s="62">
        <f>+'Anexo 1 - Balance'!J48</f>
        <v>0</v>
      </c>
      <c r="E16" s="62">
        <f>+D18</f>
        <v>63097.867138172296</v>
      </c>
      <c r="F16" s="62">
        <f>+E18</f>
        <v>67252.657218550026</v>
      </c>
      <c r="G16" s="62">
        <f>+F18</f>
        <v>70553.256692144583</v>
      </c>
      <c r="H16" s="62">
        <f>+G18</f>
        <v>75290.0369815101</v>
      </c>
    </row>
    <row r="17" spans="1:8">
      <c r="A17" t="s">
        <v>1407</v>
      </c>
      <c r="D17" s="62">
        <f>+D19-D16+D18</f>
        <v>105386.53672867932</v>
      </c>
      <c r="E17" s="62">
        <f>+E19-E16+E18</f>
        <v>49228.031525623657</v>
      </c>
      <c r="F17" s="62">
        <f>+F19-F16+F18</f>
        <v>50585.927743959197</v>
      </c>
      <c r="G17" s="62">
        <f>+G19-G16+G18</f>
        <v>55196.73467096081</v>
      </c>
      <c r="H17" s="62">
        <f>+H19-H16+H18</f>
        <v>58691.236642486874</v>
      </c>
    </row>
    <row r="18" spans="1:8">
      <c r="A18" t="s">
        <v>1408</v>
      </c>
      <c r="D18" s="62">
        <f>+D7</f>
        <v>63097.867138172296</v>
      </c>
      <c r="E18" s="62">
        <f>+E7</f>
        <v>67252.657218550026</v>
      </c>
      <c r="F18" s="62">
        <f>+F7</f>
        <v>70553.256692144583</v>
      </c>
      <c r="G18" s="62">
        <f>+G7</f>
        <v>75290.0369815101</v>
      </c>
      <c r="H18" s="62">
        <f>+H7</f>
        <v>80218.335895171913</v>
      </c>
    </row>
    <row r="19" spans="1:8">
      <c r="A19" t="s">
        <v>1272</v>
      </c>
      <c r="D19" s="1229">
        <f>+D13</f>
        <v>42288.669590507023</v>
      </c>
      <c r="E19" s="1229">
        <f>+E13</f>
        <v>45073.241445245927</v>
      </c>
      <c r="F19" s="1229">
        <f>+F13</f>
        <v>47285.32827036464</v>
      </c>
      <c r="G19" s="1229">
        <f>+G13</f>
        <v>50459.954381595293</v>
      </c>
      <c r="H19" s="1229">
        <f>+H13</f>
        <v>53762.937728825062</v>
      </c>
    </row>
    <row r="20" spans="1:8">
      <c r="D20" s="1380">
        <f>+D16+D17-D18-D19</f>
        <v>0</v>
      </c>
      <c r="E20" s="1380">
        <f>+E16+E17-E18-E19</f>
        <v>0</v>
      </c>
      <c r="F20" s="1380">
        <f>+F16+F17-F18-F19</f>
        <v>0</v>
      </c>
      <c r="G20" s="1380">
        <f>+G16+G17-G18-G19</f>
        <v>0</v>
      </c>
      <c r="H20" s="1380">
        <f>+H16+H17-H18-H19</f>
        <v>0</v>
      </c>
    </row>
  </sheetData>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AI509"/>
  <sheetViews>
    <sheetView zoomScale="102" zoomScaleNormal="102" workbookViewId="0">
      <pane xSplit="1" ySplit="4" topLeftCell="B68" activePane="bottomRight" state="frozen"/>
      <selection pane="topRight" activeCell="B1" sqref="B1"/>
      <selection pane="bottomLeft" activeCell="A5" sqref="A5"/>
      <selection pane="bottomRight" activeCell="J77" sqref="J77"/>
    </sheetView>
  </sheetViews>
  <sheetFormatPr baseColWidth="10" defaultColWidth="11.42578125" defaultRowHeight="15"/>
  <cols>
    <col min="1" max="1" width="48.42578125" style="104" customWidth="1"/>
    <col min="2" max="2" width="14.42578125" style="348" customWidth="1"/>
    <col min="3" max="3" width="12.85546875" style="21" customWidth="1"/>
    <col min="4" max="4" width="12.140625" style="21" customWidth="1"/>
    <col min="5" max="6" width="12.140625" style="21" bestFit="1" customWidth="1"/>
    <col min="7" max="9" width="12.140625" style="21" customWidth="1"/>
    <col min="10" max="10" width="13.140625" style="97" bestFit="1" customWidth="1"/>
    <col min="11" max="12" width="11.42578125" style="21" customWidth="1"/>
    <col min="13" max="34" width="11.42578125" style="21"/>
    <col min="35" max="35" width="30.85546875" style="21" bestFit="1" customWidth="1"/>
    <col min="36" max="16384" width="11.42578125" style="21"/>
  </cols>
  <sheetData>
    <row r="1" spans="1:35" customFormat="1" ht="26.25" thickBot="1">
      <c r="A1" s="183"/>
      <c r="B1" s="348"/>
      <c r="C1" s="21"/>
      <c r="D1" s="21"/>
      <c r="E1" s="322" t="s">
        <v>0</v>
      </c>
      <c r="F1" s="95" t="s">
        <v>497</v>
      </c>
      <c r="G1" s="96"/>
      <c r="H1" s="96"/>
      <c r="I1" s="96"/>
      <c r="J1" s="97"/>
      <c r="K1" s="21"/>
      <c r="L1" s="21"/>
      <c r="M1" s="21"/>
      <c r="N1" s="21"/>
      <c r="O1" s="21"/>
      <c r="P1" s="21"/>
      <c r="Q1" s="21"/>
      <c r="R1" s="21"/>
      <c r="S1" s="21"/>
      <c r="T1" s="21"/>
      <c r="U1" s="21"/>
      <c r="V1" s="21"/>
      <c r="W1" s="21"/>
      <c r="X1" s="21"/>
      <c r="Y1" s="21"/>
      <c r="Z1" s="21"/>
      <c r="AA1" s="21"/>
      <c r="AB1" s="21"/>
      <c r="AC1" s="21"/>
      <c r="AD1" s="21"/>
      <c r="AE1" s="21"/>
      <c r="AF1" s="21"/>
      <c r="AG1" s="21"/>
      <c r="AH1" s="21" t="s">
        <v>312</v>
      </c>
    </row>
    <row r="2" spans="1:35" customFormat="1" ht="16.5" thickTop="1" thickBot="1">
      <c r="A2" s="184"/>
      <c r="B2" s="323"/>
      <c r="C2" s="134"/>
      <c r="D2" s="133"/>
      <c r="E2" s="133"/>
      <c r="F2" s="133"/>
      <c r="G2" s="133"/>
      <c r="H2" s="731"/>
      <c r="I2" s="731"/>
      <c r="J2" s="135"/>
      <c r="K2" s="21"/>
      <c r="L2" s="21"/>
      <c r="M2" s="21"/>
      <c r="N2" s="21"/>
      <c r="O2" s="21"/>
      <c r="P2" s="21"/>
      <c r="Q2" s="21"/>
      <c r="R2" s="21"/>
      <c r="S2" s="21"/>
      <c r="T2" s="21"/>
      <c r="U2" s="21"/>
      <c r="V2" s="21"/>
      <c r="W2" s="21"/>
      <c r="X2" s="21"/>
      <c r="Y2" s="21"/>
      <c r="Z2" s="21"/>
      <c r="AA2" s="21"/>
      <c r="AB2" s="21"/>
      <c r="AC2" s="21"/>
      <c r="AD2" s="21"/>
      <c r="AE2" s="21"/>
      <c r="AF2" s="21"/>
      <c r="AG2" s="21"/>
      <c r="AH2" s="98">
        <v>0</v>
      </c>
      <c r="AI2" s="77" t="s">
        <v>308</v>
      </c>
    </row>
    <row r="3" spans="1:35" customFormat="1" ht="15.75" thickBot="1">
      <c r="A3" s="185"/>
      <c r="B3" s="324"/>
      <c r="C3" s="99">
        <v>2008</v>
      </c>
      <c r="D3" s="99">
        <v>2009</v>
      </c>
      <c r="E3" s="99">
        <v>2010</v>
      </c>
      <c r="F3" s="100">
        <v>2011</v>
      </c>
      <c r="G3" s="100">
        <v>2012</v>
      </c>
      <c r="H3" s="100">
        <v>2013</v>
      </c>
      <c r="I3" s="100">
        <v>2014</v>
      </c>
      <c r="J3" s="136"/>
      <c r="K3" s="21"/>
      <c r="L3" s="21"/>
      <c r="M3" s="21"/>
      <c r="N3" s="21"/>
      <c r="O3" s="21"/>
      <c r="P3" s="21"/>
      <c r="Q3" s="21"/>
      <c r="R3" s="21"/>
      <c r="S3" s="21"/>
      <c r="T3" s="21"/>
      <c r="U3" s="21"/>
      <c r="V3" s="21"/>
      <c r="W3" s="21"/>
      <c r="X3" s="21"/>
      <c r="Y3" s="21"/>
      <c r="Z3" s="21"/>
      <c r="AA3" s="21"/>
      <c r="AB3" s="21"/>
      <c r="AC3" s="21"/>
      <c r="AD3" s="21"/>
      <c r="AE3" s="21"/>
      <c r="AF3" s="21"/>
      <c r="AG3" s="21"/>
      <c r="AH3" s="101">
        <v>0.01</v>
      </c>
      <c r="AI3" s="78" t="s">
        <v>308</v>
      </c>
    </row>
    <row r="4" spans="1:35" s="64" customFormat="1">
      <c r="A4" s="193" t="s">
        <v>420</v>
      </c>
      <c r="B4" s="324"/>
      <c r="C4" s="192"/>
      <c r="D4" s="192"/>
      <c r="E4" s="192"/>
      <c r="F4" s="192"/>
      <c r="G4" s="192"/>
      <c r="H4" s="192"/>
      <c r="I4" s="192"/>
      <c r="J4" s="137" t="s">
        <v>372</v>
      </c>
      <c r="K4" s="21"/>
      <c r="L4" s="21"/>
      <c r="M4" s="21"/>
      <c r="N4" s="21"/>
      <c r="O4" s="21"/>
      <c r="P4" s="21"/>
      <c r="Q4" s="21"/>
      <c r="R4" s="21"/>
      <c r="S4" s="21"/>
      <c r="T4" s="21"/>
      <c r="U4" s="21"/>
      <c r="V4" s="21"/>
      <c r="W4" s="21"/>
      <c r="X4" s="21"/>
      <c r="Y4" s="21"/>
      <c r="Z4" s="21"/>
      <c r="AA4" s="21"/>
      <c r="AB4" s="21"/>
      <c r="AC4" s="21"/>
      <c r="AD4" s="21"/>
      <c r="AE4" s="21"/>
      <c r="AF4" s="21"/>
      <c r="AG4" s="21"/>
      <c r="AH4" s="102">
        <v>0.02</v>
      </c>
      <c r="AI4" s="78" t="s">
        <v>308</v>
      </c>
    </row>
    <row r="5" spans="1:35" customFormat="1" ht="21" customHeight="1" thickBot="1">
      <c r="A5" s="186" t="s">
        <v>1</v>
      </c>
      <c r="B5" s="325"/>
      <c r="C5" s="13"/>
      <c r="D5" s="13"/>
      <c r="E5" s="13"/>
      <c r="F5" s="13"/>
      <c r="G5" s="13"/>
      <c r="H5" s="13"/>
      <c r="I5" s="13"/>
      <c r="J5" s="137"/>
      <c r="K5" s="21"/>
      <c r="L5" s="21"/>
      <c r="M5" s="21"/>
      <c r="N5" s="21"/>
      <c r="O5" s="21"/>
      <c r="P5" s="21"/>
      <c r="Q5" s="21"/>
      <c r="R5" s="21"/>
      <c r="S5" s="21"/>
      <c r="T5" s="21"/>
      <c r="U5" s="21"/>
      <c r="V5" s="21"/>
      <c r="W5" s="21"/>
      <c r="X5" s="21"/>
      <c r="Y5" s="21"/>
      <c r="Z5" s="21"/>
      <c r="AA5" s="21"/>
      <c r="AB5" s="21"/>
      <c r="AC5" s="21"/>
      <c r="AD5" s="21"/>
      <c r="AE5" s="21"/>
      <c r="AF5" s="21"/>
      <c r="AG5" s="21"/>
      <c r="AH5" s="101">
        <v>0.03</v>
      </c>
      <c r="AI5" s="78" t="s">
        <v>308</v>
      </c>
    </row>
    <row r="6" spans="1:35" customFormat="1" ht="21" customHeight="1">
      <c r="A6" s="1556" t="s">
        <v>444</v>
      </c>
      <c r="B6" s="326" t="s">
        <v>59</v>
      </c>
      <c r="C6" s="196">
        <f>+('Anexo - ER Sector '!C4/'Anexo - ER Sector '!B4)-1</f>
        <v>0.1089995834285471</v>
      </c>
      <c r="D6" s="197">
        <f>+('Anexo - ER Sector '!D4/'Anexo - ER Sector '!C4)-1</f>
        <v>6.8342632019489313E-2</v>
      </c>
      <c r="E6" s="196">
        <f>+('Anexo - ER Sector '!E4/'Anexo - ER Sector '!D4)-1</f>
        <v>5.9025249602951524E-2</v>
      </c>
      <c r="F6" s="197">
        <f>+('Anexo - ER Sector '!F4/'Anexo - ER Sector '!E4)-1</f>
        <v>0.13599289636818979</v>
      </c>
      <c r="G6" s="197">
        <f>+('Anexo - ER Sector '!G4/'Anexo - ER Sector '!F4)-1</f>
        <v>0.11941338835853821</v>
      </c>
      <c r="H6" s="197">
        <f>+('Anexo - ER Sector '!H4/'Anexo - ER Sector '!G4)-1</f>
        <v>1.019723144583784E-2</v>
      </c>
      <c r="I6" s="197">
        <f>+('Anexo - ER Sector '!I4/'Anexo - ER Sector '!H4)-1</f>
        <v>5.7926611429124364E-2</v>
      </c>
      <c r="J6" s="205">
        <f>+AVERAGE(E6:I6)</f>
        <v>7.6511075440928347E-2</v>
      </c>
      <c r="K6" s="21"/>
      <c r="L6" s="21"/>
      <c r="M6" s="21"/>
      <c r="N6" s="21"/>
      <c r="O6" s="21"/>
      <c r="P6" s="21"/>
      <c r="Q6" s="21"/>
      <c r="R6" s="21"/>
      <c r="S6" s="21"/>
      <c r="T6" s="21"/>
      <c r="AH6" s="102">
        <v>0.04</v>
      </c>
      <c r="AI6" s="78" t="s">
        <v>308</v>
      </c>
    </row>
    <row r="7" spans="1:35" s="16" customFormat="1" ht="30">
      <c r="A7" s="1557"/>
      <c r="B7" s="327" t="s">
        <v>498</v>
      </c>
      <c r="C7" s="206">
        <f>+('Anexo 2 - ER'!D4/'Anexo 2 - ER'!C4)-1</f>
        <v>0.11394211837237322</v>
      </c>
      <c r="D7" s="207">
        <f>+('Anexo 2 - ER'!E4/'Anexo 2 - ER'!D4)-1</f>
        <v>5.0854172516453078E-2</v>
      </c>
      <c r="E7" s="206">
        <f>+('Anexo 2 - ER'!F4/'Anexo 2 - ER'!E4)-1</f>
        <v>7.3481234700476961E-2</v>
      </c>
      <c r="F7" s="207">
        <f>+('Anexo 2 - ER'!G4/'Anexo 2 - ER'!F4)-1</f>
        <v>6.2832968648075749E-2</v>
      </c>
      <c r="G7" s="207">
        <f>+('Anexo 2 - ER'!H4/'Anexo 2 - ER'!G4)-1</f>
        <v>1.517982540302687E-2</v>
      </c>
      <c r="H7" s="207">
        <f>+('Anexo 2 - ER'!I4/'Anexo 2 - ER'!H4)-1</f>
        <v>7.7529672729522936E-2</v>
      </c>
      <c r="I7" s="207">
        <f>+('Anexo 2 - ER'!J4/'Anexo 2 - ER'!I4)-1</f>
        <v>2.157201062713332E-3</v>
      </c>
      <c r="J7" s="205">
        <f t="shared" ref="J7:J70" si="0">+AVERAGE(E7:I7)</f>
        <v>4.6236180508763172E-2</v>
      </c>
      <c r="K7" s="318"/>
      <c r="L7" s="21"/>
      <c r="M7" s="21"/>
      <c r="N7" s="21"/>
      <c r="O7" s="21"/>
      <c r="P7" s="21"/>
      <c r="Q7" s="21"/>
      <c r="R7" s="21"/>
      <c r="S7" s="21"/>
      <c r="T7" s="21"/>
      <c r="AH7" s="101">
        <v>0.05</v>
      </c>
      <c r="AI7" s="78" t="s">
        <v>308</v>
      </c>
    </row>
    <row r="8" spans="1:35" customFormat="1" ht="21" customHeight="1">
      <c r="A8" s="1558" t="s">
        <v>445</v>
      </c>
      <c r="B8" s="328" t="s">
        <v>59</v>
      </c>
      <c r="C8" s="208">
        <f>+('Anexo - Balance Sector '!C26/'Anexo - Balance Sector '!B26)-1</f>
        <v>7.1906872973164226E-2</v>
      </c>
      <c r="D8" s="209">
        <f>+('Anexo - Balance Sector '!D26/'Anexo - Balance Sector '!C26)-1</f>
        <v>0.11599299872678759</v>
      </c>
      <c r="E8" s="208">
        <f>+('Anexo - Balance Sector '!E26/'Anexo - Balance Sector '!D26)-1</f>
        <v>7.6790539625526399E-3</v>
      </c>
      <c r="F8" s="209">
        <f>+('Anexo - Balance Sector '!F26/'Anexo - Balance Sector '!E26)-1</f>
        <v>0.21182888715950732</v>
      </c>
      <c r="G8" s="209">
        <f>+('Anexo - Balance Sector '!G26/'Anexo - Balance Sector '!F26)-1</f>
        <v>6.595527820686975E-2</v>
      </c>
      <c r="H8" s="209">
        <f>+('Anexo - Balance Sector '!H26/'Anexo - Balance Sector '!G26)-1</f>
        <v>0.10192496805271367</v>
      </c>
      <c r="I8" s="209">
        <f>+('Anexo - Balance Sector '!I26/'Anexo - Balance Sector '!H26)-1</f>
        <v>6.9134029321682888E-2</v>
      </c>
      <c r="J8" s="205">
        <f t="shared" si="0"/>
        <v>9.1304443340665259E-2</v>
      </c>
      <c r="K8" s="21"/>
      <c r="L8" s="21"/>
      <c r="M8" s="21"/>
      <c r="N8" s="21"/>
      <c r="O8" s="21"/>
      <c r="P8" s="21"/>
      <c r="Q8" s="21"/>
      <c r="R8" s="21"/>
      <c r="S8" s="21"/>
      <c r="T8" s="21"/>
      <c r="AH8" s="102">
        <v>0.06</v>
      </c>
      <c r="AI8" s="78" t="s">
        <v>308</v>
      </c>
    </row>
    <row r="9" spans="1:35" s="16" customFormat="1" ht="30">
      <c r="A9" s="1557"/>
      <c r="B9" s="327" t="s">
        <v>498</v>
      </c>
      <c r="C9" s="206">
        <f>+('Anexo 1 - Balance'!D106/'Anexo 1 - Balance'!C106)-1</f>
        <v>0.26918064196901414</v>
      </c>
      <c r="D9" s="207">
        <f>+('Anexo 1 - Balance'!E106/'Anexo 1 - Balance'!D106)-1</f>
        <v>1.6736424969809205E-2</v>
      </c>
      <c r="E9" s="206">
        <f>+('Anexo 1 - Balance'!F106/'Anexo 1 - Balance'!E106)-1</f>
        <v>4.814029837536804E-2</v>
      </c>
      <c r="F9" s="207">
        <f>+('Anexo 1 - Balance'!G106/'Anexo 1 - Balance'!F106)-1</f>
        <v>4.5224810877884103E-2</v>
      </c>
      <c r="G9" s="207">
        <f>+('Anexo 1 - Balance'!H106/'Anexo 1 - Balance'!G106)-1</f>
        <v>-0.46987342133711385</v>
      </c>
      <c r="H9" s="207">
        <f>+('Anexo 1 - Balance'!I106/'Anexo 1 - Balance'!H106)-1</f>
        <v>0.32268213947894786</v>
      </c>
      <c r="I9" s="207">
        <f>+('Anexo 1 - Balance'!J106/'Anexo 1 - Balance'!I106)-1</f>
        <v>0.29746595111754304</v>
      </c>
      <c r="J9" s="205">
        <f t="shared" si="0"/>
        <v>4.8727955702525839E-2</v>
      </c>
      <c r="K9" s="21"/>
      <c r="L9" s="21"/>
      <c r="M9" s="21"/>
      <c r="N9" s="21"/>
      <c r="O9" s="21"/>
      <c r="P9" s="21"/>
      <c r="Q9" s="21"/>
      <c r="R9" s="21"/>
      <c r="S9" s="21"/>
      <c r="T9" s="21"/>
      <c r="AH9" s="101">
        <v>7.0000000000000007E-2</v>
      </c>
      <c r="AI9" s="78" t="s">
        <v>308</v>
      </c>
    </row>
    <row r="10" spans="1:35" customFormat="1" ht="21" customHeight="1">
      <c r="A10" s="1548" t="s">
        <v>446</v>
      </c>
      <c r="B10" s="328" t="s">
        <v>59</v>
      </c>
      <c r="C10" s="208">
        <f>+('Anexo - ER Sector '!C19/'Anexo - ER Sector '!B19)-1</f>
        <v>0.28334367408747219</v>
      </c>
      <c r="D10" s="209">
        <f>+('Anexo - ER Sector '!D19/'Anexo - ER Sector '!C19)-1</f>
        <v>0.11142522349779171</v>
      </c>
      <c r="E10" s="208">
        <f>+('Anexo - ER Sector '!E19/'Anexo - ER Sector '!D19)-1</f>
        <v>0.35726029417185834</v>
      </c>
      <c r="F10" s="209">
        <f>+('Anexo - ER Sector '!F19/'Anexo - ER Sector '!E19)-1</f>
        <v>-4.5292571105751467E-2</v>
      </c>
      <c r="G10" s="209">
        <f>+('Anexo - ER Sector '!G19/'Anexo - ER Sector '!F19)-1</f>
        <v>-3.2499971551145368E-2</v>
      </c>
      <c r="H10" s="209">
        <f>+('Anexo - ER Sector '!H19/'Anexo - ER Sector '!G19)-1</f>
        <v>0.18794180261347204</v>
      </c>
      <c r="I10" s="209">
        <f>+('Anexo - ER Sector '!I19/'Anexo - ER Sector '!H19)-1</f>
        <v>-0.32458415841584154</v>
      </c>
      <c r="J10" s="205">
        <f t="shared" si="0"/>
        <v>2.85650791425184E-2</v>
      </c>
      <c r="K10" s="21"/>
      <c r="L10" s="21"/>
      <c r="M10" s="21"/>
      <c r="N10" s="21"/>
      <c r="O10" s="21"/>
      <c r="P10" s="21"/>
      <c r="Q10" s="21"/>
      <c r="R10" s="21"/>
      <c r="S10" s="21"/>
      <c r="T10" s="21"/>
      <c r="AH10" s="102">
        <v>0.08</v>
      </c>
      <c r="AI10" s="78" t="s">
        <v>308</v>
      </c>
    </row>
    <row r="11" spans="1:35" s="64" customFormat="1" ht="30">
      <c r="A11" s="1549"/>
      <c r="B11" s="327" t="s">
        <v>498</v>
      </c>
      <c r="C11" s="206">
        <f>+('Anexo 2 - ER'!D27/'Anexo 2 - ER'!C27)-1</f>
        <v>0.86413140989386883</v>
      </c>
      <c r="D11" s="207">
        <f>+('Anexo 2 - ER'!E27/'Anexo 2 - ER'!D27)-1</f>
        <v>-0.39020527766175317</v>
      </c>
      <c r="E11" s="206">
        <f>+('Anexo 2 - ER'!F27/'Anexo 2 - ER'!E27)-1</f>
        <v>0.29964431387218782</v>
      </c>
      <c r="F11" s="207">
        <f>+('Anexo 2 - ER'!G27/'Anexo 2 - ER'!F27)-1</f>
        <v>-1.2932195477754926E-2</v>
      </c>
      <c r="G11" s="207">
        <f>+('Anexo 2 - ER'!H27/'Anexo 2 - ER'!G27)-1</f>
        <v>-0.16203681207772458</v>
      </c>
      <c r="H11" s="207">
        <f>+('Anexo 2 - ER'!I27/'Anexo 2 - ER'!H27)-1</f>
        <v>-7.9566204557201536E-2</v>
      </c>
      <c r="I11" s="207">
        <f>+('Anexo 2 - ER'!J27/'Anexo 2 - ER'!I27)-1</f>
        <v>8.4822357469828802E-2</v>
      </c>
      <c r="J11" s="205">
        <f t="shared" si="0"/>
        <v>2.5986291845867114E-2</v>
      </c>
      <c r="K11" s="21"/>
      <c r="L11" s="21"/>
      <c r="M11" s="21"/>
      <c r="N11" s="21"/>
      <c r="O11" s="21"/>
      <c r="P11" s="21"/>
      <c r="Q11" s="21"/>
      <c r="R11" s="21"/>
      <c r="S11" s="21"/>
      <c r="T11" s="21"/>
      <c r="AH11" s="101">
        <v>0.09</v>
      </c>
      <c r="AI11" s="78" t="s">
        <v>308</v>
      </c>
    </row>
    <row r="12" spans="1:35" s="64" customFormat="1" ht="21" customHeight="1">
      <c r="A12" s="1548" t="s">
        <v>696</v>
      </c>
      <c r="B12" s="328" t="s">
        <v>0</v>
      </c>
      <c r="C12" s="208">
        <f>+('Anexo - ER Sector '!C9/'Anexo - ER Sector '!B9)-1</f>
        <v>0</v>
      </c>
      <c r="D12" s="209">
        <f>+('Anexo - ER Sector '!D9/'Anexo - ER Sector '!C9)-1</f>
        <v>0</v>
      </c>
      <c r="E12" s="208">
        <f>+('Anexo - ER Sector '!E9/'Anexo - ER Sector '!D9)-1</f>
        <v>0.28372600489564537</v>
      </c>
      <c r="F12" s="209">
        <f>+('Anexo - ER Sector '!F9/'Anexo - ER Sector '!E9)-1</f>
        <v>-0.33499029345443254</v>
      </c>
      <c r="G12" s="209">
        <f>+('Anexo - ER Sector '!G9/'Anexo - ER Sector '!F9)-1</f>
        <v>0.16484863919110748</v>
      </c>
      <c r="H12" s="209">
        <f>+('Anexo - ER Sector '!H9/'Anexo - ER Sector '!G9)-1</f>
        <v>-2.6433412416294821E-2</v>
      </c>
      <c r="I12" s="209">
        <f>+('Anexo - ER Sector '!I9/'Anexo - ER Sector '!H9)-1</f>
        <v>3.2914845572610263E-2</v>
      </c>
      <c r="J12" s="205">
        <f t="shared" si="0"/>
        <v>2.4013156757727149E-2</v>
      </c>
      <c r="K12" s="21"/>
      <c r="L12" s="21"/>
      <c r="M12" s="21"/>
      <c r="N12" s="21"/>
      <c r="O12" s="21"/>
      <c r="P12" s="21"/>
      <c r="Q12" s="21"/>
      <c r="R12" s="21"/>
      <c r="S12" s="21"/>
      <c r="AH12" s="101"/>
      <c r="AI12" s="78"/>
    </row>
    <row r="13" spans="1:35" s="64" customFormat="1" ht="30">
      <c r="A13" s="1549"/>
      <c r="B13" s="327" t="s">
        <v>498</v>
      </c>
      <c r="C13" s="206">
        <f>+('Anexo 2 - ER'!D14/'Anexo 2 - ER'!C14)-1</f>
        <v>0.40463965941448943</v>
      </c>
      <c r="D13" s="207">
        <f>+('Anexo 2 - ER'!E14/'Anexo 2 - ER'!D14)-1</f>
        <v>-2.1199619913451873E-2</v>
      </c>
      <c r="E13" s="206">
        <f>+('Anexo 2 - ER'!F14/'Anexo 2 - ER'!E14)-1</f>
        <v>0.16823312152354997</v>
      </c>
      <c r="F13" s="207">
        <f>+('Anexo 2 - ER'!G14/'Anexo 2 - ER'!F14)-1</f>
        <v>-0.17516817592479017</v>
      </c>
      <c r="G13" s="207">
        <f>+('Anexo 2 - ER'!H14/'Anexo 2 - ER'!G14)-1</f>
        <v>0.13116732251761754</v>
      </c>
      <c r="H13" s="207">
        <f>+('Anexo 2 - ER'!I14/'Anexo 2 - ER'!H14)-1</f>
        <v>-0.17880021688123493</v>
      </c>
      <c r="I13" s="207">
        <f>+('Anexo 2 - ER'!J14/'Anexo 2 - ER'!I14)-1</f>
        <v>-0.28864216451027869</v>
      </c>
      <c r="J13" s="205">
        <f t="shared" si="0"/>
        <v>-6.8642022655027252E-2</v>
      </c>
      <c r="K13" s="21"/>
      <c r="L13" s="21"/>
      <c r="M13" s="21"/>
      <c r="N13" s="21"/>
      <c r="O13" s="21"/>
      <c r="P13" s="21"/>
      <c r="Q13" s="21"/>
      <c r="R13" s="21"/>
      <c r="S13" s="21"/>
      <c r="AH13" s="101"/>
      <c r="AI13" s="78"/>
    </row>
    <row r="14" spans="1:35" s="64" customFormat="1" ht="21" customHeight="1">
      <c r="A14" s="1548" t="s">
        <v>697</v>
      </c>
      <c r="B14" s="328" t="s">
        <v>0</v>
      </c>
      <c r="C14" s="208">
        <f>+('Anexo - Balance Sector '!C69/'Anexo - Balance Sector '!B69)-1</f>
        <v>0.16776876689540443</v>
      </c>
      <c r="D14" s="209">
        <f>+('Anexo - Balance Sector '!D69/'Anexo - Balance Sector '!C69)-1</f>
        <v>-2.9176608853591635E-2</v>
      </c>
      <c r="E14" s="208">
        <f>+('Anexo - Balance Sector '!E69/'Anexo - Balance Sector '!D69)-1</f>
        <v>4.0694482839036539E-2</v>
      </c>
      <c r="F14" s="209">
        <f>+('Anexo - Balance Sector '!F69/'Anexo - Balance Sector '!E69)-1</f>
        <v>0.10821266620842107</v>
      </c>
      <c r="G14" s="209">
        <f>+('Anexo - Balance Sector '!G69/'Anexo - Balance Sector '!F69)-1</f>
        <v>0.11126547925629149</v>
      </c>
      <c r="H14" s="209">
        <f>+('Anexo - Balance Sector '!H69/'Anexo - Balance Sector '!G69)-1</f>
        <v>0.15559010750973434</v>
      </c>
      <c r="I14" s="209">
        <f>+('Anexo - Balance Sector '!I69/'Anexo - Balance Sector '!H69)-1</f>
        <v>4.618816904199341E-2</v>
      </c>
      <c r="J14" s="205">
        <f t="shared" si="0"/>
        <v>9.2390180971095373E-2</v>
      </c>
      <c r="K14" s="21"/>
      <c r="L14" s="21"/>
      <c r="M14" s="21"/>
      <c r="N14" s="21"/>
      <c r="O14" s="21"/>
      <c r="P14" s="21"/>
      <c r="Q14" s="21"/>
      <c r="R14" s="21"/>
      <c r="S14" s="21"/>
      <c r="AH14" s="101"/>
      <c r="AI14" s="78"/>
    </row>
    <row r="15" spans="1:35" s="64" customFormat="1" ht="30">
      <c r="A15" s="1549"/>
      <c r="B15" s="327" t="s">
        <v>498</v>
      </c>
      <c r="C15" s="206">
        <f>+('Anexo 1 - Balance'!D248/'Anexo 1 - Balance'!C248)-1</f>
        <v>0.37921694291553898</v>
      </c>
      <c r="D15" s="207">
        <f>+('Anexo 1 - Balance'!E248/'Anexo 1 - Balance'!D248)-1</f>
        <v>-0.69862728777705685</v>
      </c>
      <c r="E15" s="206">
        <f>+('Anexo 1 - Balance'!F248/'Anexo 1 - Balance'!E248)-1</f>
        <v>-0.51413804742988423</v>
      </c>
      <c r="F15" s="207">
        <f>+('Anexo 1 - Balance'!G248/'Anexo 1 - Balance'!F248)-1</f>
        <v>5.0236892398870747E-2</v>
      </c>
      <c r="G15" s="207">
        <f>+('Anexo 1 - Balance'!H248/'Anexo 1 - Balance'!G248)-1</f>
        <v>1.5975232608607679</v>
      </c>
      <c r="H15" s="207">
        <f>+('Anexo 1 - Balance'!I248/'Anexo 1 - Balance'!H248)-1</f>
        <v>-0.17843120963608694</v>
      </c>
      <c r="I15" s="207">
        <f>+('Anexo 1 - Balance'!J248/'Anexo 1 - Balance'!I248)-1</f>
        <v>0.10119268497757905</v>
      </c>
      <c r="J15" s="205">
        <f t="shared" si="0"/>
        <v>0.21127671623424932</v>
      </c>
      <c r="K15" s="21"/>
      <c r="L15" s="21"/>
      <c r="M15" s="21"/>
      <c r="N15" s="21"/>
      <c r="O15" s="21"/>
      <c r="P15" s="21"/>
      <c r="Q15" s="21"/>
      <c r="R15" s="21"/>
      <c r="S15" s="21"/>
      <c r="AH15" s="101"/>
      <c r="AI15" s="78"/>
    </row>
    <row r="16" spans="1:35" customFormat="1">
      <c r="A16" s="1548" t="s">
        <v>447</v>
      </c>
      <c r="B16" s="328" t="s">
        <v>59</v>
      </c>
      <c r="C16" s="210">
        <f>+('Anexo - Balance Sector '!C59/'Anexo - Balance Sector '!B59)-1</f>
        <v>8.5874753695582173E-2</v>
      </c>
      <c r="D16" s="211">
        <f>+('Anexo - Balance Sector '!D59/'Anexo - Balance Sector '!C59)-1</f>
        <v>0.14567215824822566</v>
      </c>
      <c r="E16" s="210">
        <f>+('Anexo - Balance Sector '!E59/'Anexo - Balance Sector '!D59)-1</f>
        <v>-6.4733717869742913E-2</v>
      </c>
      <c r="F16" s="211">
        <f>+('Anexo - Balance Sector '!F59/'Anexo - Balance Sector '!E59)-1</f>
        <v>0.21408534193957873</v>
      </c>
      <c r="G16" s="211">
        <f>+('Anexo - Balance Sector '!G59/'Anexo - Balance Sector '!F59)-1</f>
        <v>6.3174117821122922E-2</v>
      </c>
      <c r="H16" s="211">
        <f>+('Anexo - Balance Sector '!H59/'Anexo - Balance Sector '!G59)-1</f>
        <v>0.12003274969905986</v>
      </c>
      <c r="I16" s="211">
        <f>+('Anexo - Balance Sector '!I59/'Anexo - Balance Sector '!H59)-1</f>
        <v>6.2607725669099334E-3</v>
      </c>
      <c r="J16" s="205">
        <f t="shared" si="0"/>
        <v>6.776385283138571E-2</v>
      </c>
      <c r="K16" s="21"/>
      <c r="L16" s="21"/>
      <c r="M16" s="21"/>
      <c r="N16" s="21"/>
      <c r="O16" s="21"/>
      <c r="P16" s="21"/>
      <c r="Q16" s="21"/>
      <c r="R16" s="21"/>
      <c r="S16" s="21"/>
      <c r="T16" s="21"/>
      <c r="AH16" s="102">
        <v>0.1</v>
      </c>
      <c r="AI16" s="78" t="s">
        <v>308</v>
      </c>
    </row>
    <row r="17" spans="1:35" s="64" customFormat="1" ht="30.75" thickBot="1">
      <c r="A17" s="1550"/>
      <c r="B17" s="329" t="s">
        <v>498</v>
      </c>
      <c r="C17" s="214">
        <f>+('Anexo 1 - Balance'!D229/'Anexo 1 - Balance'!C229)-1</f>
        <v>0.27506207010102002</v>
      </c>
      <c r="D17" s="215">
        <f>+('Anexo 1 - Balance'!E229/'Anexo 1 - Balance'!D229)-1</f>
        <v>3.0343614398476104E-2</v>
      </c>
      <c r="E17" s="214">
        <f>+('Anexo 1 - Balance'!F229/'Anexo 1 - Balance'!E229)-1</f>
        <v>-0.14115384477373272</v>
      </c>
      <c r="F17" s="215">
        <f>+('Anexo 1 - Balance'!G229/'Anexo 1 - Balance'!F229)-1</f>
        <v>7.3455779652537467E-2</v>
      </c>
      <c r="G17" s="215">
        <f>+('Anexo 1 - Balance'!H229/'Anexo 1 - Balance'!G229)-1</f>
        <v>-0.55275149501159104</v>
      </c>
      <c r="H17" s="215">
        <f>+('Anexo 1 - Balance'!I229/'Anexo 1 - Balance'!H229)-1</f>
        <v>-3.8287324067673212E-2</v>
      </c>
      <c r="I17" s="215">
        <f>+('Anexo 1 - Balance'!J229/'Anexo 1 - Balance'!I229)-1</f>
        <v>3.9064938953391692E-2</v>
      </c>
      <c r="J17" s="205">
        <f t="shared" si="0"/>
        <v>-0.12393438904941356</v>
      </c>
      <c r="K17" s="21"/>
      <c r="L17" s="21"/>
      <c r="M17" s="21"/>
      <c r="N17" s="21"/>
      <c r="O17" s="21"/>
      <c r="P17" s="21"/>
      <c r="Q17" s="21"/>
      <c r="R17" s="21"/>
      <c r="S17" s="21"/>
      <c r="T17" s="21"/>
      <c r="AH17" s="101">
        <v>0.11</v>
      </c>
      <c r="AI17" s="78" t="s">
        <v>308</v>
      </c>
    </row>
    <row r="18" spans="1:35" customFormat="1" ht="30" customHeight="1" thickBot="1">
      <c r="A18" s="186" t="s">
        <v>2</v>
      </c>
      <c r="B18" s="325"/>
      <c r="C18" s="201"/>
      <c r="D18" s="201"/>
      <c r="E18" s="201"/>
      <c r="F18" s="201"/>
      <c r="G18" s="201"/>
      <c r="H18" s="201"/>
      <c r="I18" s="201"/>
      <c r="J18" s="205"/>
      <c r="K18" s="21"/>
      <c r="L18" s="21"/>
      <c r="M18" s="21"/>
      <c r="N18" s="21"/>
      <c r="O18" s="21"/>
      <c r="P18" s="21"/>
      <c r="Q18" s="21"/>
      <c r="R18" s="21"/>
      <c r="S18" s="21"/>
      <c r="T18" s="21"/>
      <c r="AH18" s="102">
        <v>0.12</v>
      </c>
      <c r="AI18" s="78" t="s">
        <v>308</v>
      </c>
    </row>
    <row r="19" spans="1:35" customFormat="1">
      <c r="A19" s="1551" t="s">
        <v>448</v>
      </c>
      <c r="B19" s="326" t="s">
        <v>59</v>
      </c>
      <c r="C19" s="196">
        <f>+'Anexo - ER Sector '!C19/'Anexo - Balance Sector '!C26</f>
        <v>5.6749095312364856E-2</v>
      </c>
      <c r="D19" s="197">
        <f>+'Anexo - ER Sector '!D19/'Anexo - Balance Sector '!D26</f>
        <v>5.6516820457476441E-2</v>
      </c>
      <c r="E19" s="196">
        <f>+'Anexo - ER Sector '!E19/'Anexo - Balance Sector '!E26</f>
        <v>7.6123480048661596E-2</v>
      </c>
      <c r="F19" s="197">
        <f>+'Anexo - ER Sector '!F19/'Anexo - Balance Sector '!F26</f>
        <v>5.9971876133510904E-2</v>
      </c>
      <c r="G19" s="197">
        <f>+'Anexo - ER Sector '!G19/'Anexo - Balance Sector '!G26</f>
        <v>5.443266997364829E-2</v>
      </c>
      <c r="H19" s="197">
        <f>+'Anexo - ER Sector '!H19/'Anexo - Balance Sector '!H26</f>
        <v>5.8681712425329699E-2</v>
      </c>
      <c r="I19" s="197">
        <f>+'Anexo - ER Sector '!I19/'Anexo - Balance Sector '!I26</f>
        <v>3.7071645926844136E-2</v>
      </c>
      <c r="J19" s="205">
        <f t="shared" si="0"/>
        <v>5.7256276901598922E-2</v>
      </c>
      <c r="K19" s="21"/>
      <c r="L19" s="21"/>
      <c r="M19" s="21"/>
      <c r="N19" s="21"/>
      <c r="O19" s="21"/>
      <c r="P19" s="21"/>
      <c r="Q19" s="21"/>
      <c r="R19" s="21"/>
      <c r="S19" s="21"/>
      <c r="T19" s="21"/>
      <c r="AH19" s="101">
        <v>0.13</v>
      </c>
      <c r="AI19" s="78" t="s">
        <v>308</v>
      </c>
    </row>
    <row r="20" spans="1:35" s="64" customFormat="1" ht="30">
      <c r="A20" s="1549"/>
      <c r="B20" s="327" t="s">
        <v>498</v>
      </c>
      <c r="C20" s="212">
        <f>+'Anexo 2 - ER'!D27/'Anexo 1 - Balance'!D106</f>
        <v>0.24009016796571694</v>
      </c>
      <c r="D20" s="213">
        <f>+'Anexo 2 - ER'!E27/'Anexo 1 - Balance'!E106</f>
        <v>0.14399574335614537</v>
      </c>
      <c r="E20" s="206">
        <f>+'Anexo 2 - ER'!F27/'Anexo 1 - Balance'!F106</f>
        <v>0.17854789989917172</v>
      </c>
      <c r="F20" s="207">
        <f>+'Anexo 2 - ER'!G27/'Anexo 1 - Balance'!G106</f>
        <v>0.16861337553546016</v>
      </c>
      <c r="G20" s="207">
        <f>+'Anexo 2 - ER'!H27/'Anexo 1 - Balance'!H106</f>
        <v>0.26652465161509881</v>
      </c>
      <c r="H20" s="207">
        <f>+'Anexo 2 - ER'!I27/'Anexo 1 - Balance'!I106</f>
        <v>0.18547033285094083</v>
      </c>
      <c r="I20" s="207">
        <f>+'Anexo 2 - ER'!J27/'Anexo 1 - Balance'!J106</f>
        <v>0.15507332855306943</v>
      </c>
      <c r="J20" s="205">
        <f t="shared" si="0"/>
        <v>0.19084591769074818</v>
      </c>
      <c r="K20" s="21"/>
      <c r="L20" s="21"/>
      <c r="M20" s="21"/>
      <c r="N20" s="21"/>
      <c r="O20" s="21"/>
      <c r="P20" s="21"/>
      <c r="Q20" s="21"/>
      <c r="R20" s="21"/>
      <c r="S20" s="21"/>
      <c r="T20" s="21"/>
      <c r="AH20" s="102">
        <v>0.14000000000000001</v>
      </c>
      <c r="AI20" s="78" t="s">
        <v>308</v>
      </c>
    </row>
    <row r="21" spans="1:35" customFormat="1">
      <c r="A21" s="1548" t="s">
        <v>449</v>
      </c>
      <c r="B21" s="328" t="s">
        <v>59</v>
      </c>
      <c r="C21" s="208">
        <f>+'Anexo - ER Sector '!C19/'Anexo - Balance Sector '!C59</f>
        <v>0.13049447758688351</v>
      </c>
      <c r="D21" s="209">
        <f>+'Anexo - ER Sector '!D19/'Anexo - Balance Sector '!D59</f>
        <v>0.126593679416102</v>
      </c>
      <c r="E21" s="208">
        <f>+'Anexo - ER Sector '!E19/'Anexo - Balance Sector '!E59</f>
        <v>0.18371300008083324</v>
      </c>
      <c r="F21" s="209">
        <f>+'Anexo - ER Sector '!F19/'Anexo - Balance Sector '!F59</f>
        <v>0.14446444570479783</v>
      </c>
      <c r="G21" s="209">
        <f>+'Anexo - ER Sector '!G19/'Anexo - Balance Sector '!G59</f>
        <v>0.13146421925289556</v>
      </c>
      <c r="H21" s="209">
        <f>+'Anexo - ER Sector '!H19/'Anexo - Balance Sector '!H59</f>
        <v>0.13943506709104628</v>
      </c>
      <c r="I21" s="209">
        <f>+'Anexo - ER Sector '!I19/'Anexo - Balance Sector '!I59</f>
        <v>9.3590703079286006E-2</v>
      </c>
      <c r="J21" s="205">
        <f t="shared" si="0"/>
        <v>0.13853348704177176</v>
      </c>
      <c r="K21" s="21"/>
      <c r="L21" s="21"/>
      <c r="M21" s="21"/>
      <c r="N21" s="21"/>
      <c r="O21" s="21"/>
      <c r="P21" s="21"/>
      <c r="Q21" s="21"/>
      <c r="R21" s="21"/>
      <c r="S21" s="21"/>
      <c r="T21" s="21"/>
      <c r="AH21" s="101">
        <v>0.15</v>
      </c>
      <c r="AI21" s="78" t="s">
        <v>308</v>
      </c>
    </row>
    <row r="22" spans="1:35" s="64" customFormat="1" ht="30">
      <c r="A22" s="1549"/>
      <c r="B22" s="327" t="s">
        <v>498</v>
      </c>
      <c r="C22" s="212">
        <f>+'Anexo 2 - ER'!D27/'Anexo 1 - Balance'!D229</f>
        <v>0.31182068876856239</v>
      </c>
      <c r="D22" s="213">
        <f>+'Anexo 2 - ER'!E27/'Anexo 1 - Balance'!E229</f>
        <v>0.18454679358395956</v>
      </c>
      <c r="E22" s="206">
        <f>+'Anexo 2 - ER'!F27/'Anexo 1 - Balance'!F229</f>
        <v>0.27926444039508913</v>
      </c>
      <c r="F22" s="207">
        <f>+'Anexo 2 - ER'!G27/'Anexo 1 - Balance'!G229</f>
        <v>0.25679021277535902</v>
      </c>
      <c r="G22" s="207">
        <f>+'Anexo 2 - ER'!H27/'Anexo 1 - Balance'!H229</f>
        <v>0.48112121767753252</v>
      </c>
      <c r="H22" s="207">
        <f>+'Anexo 2 - ER'!I27/'Anexo 1 - Balance'!I229</f>
        <v>0.46047040819721252</v>
      </c>
      <c r="I22" s="207">
        <f>+'Anexo 2 - ER'!J27/'Anexo 1 - Balance'!J229</f>
        <v>0.48074819488062948</v>
      </c>
      <c r="J22" s="205">
        <f t="shared" si="0"/>
        <v>0.39167889478516454</v>
      </c>
      <c r="K22" s="233"/>
      <c r="L22" s="21"/>
      <c r="M22" s="233"/>
      <c r="N22" s="21"/>
      <c r="O22" s="21"/>
      <c r="P22" s="21"/>
      <c r="Q22" s="21"/>
      <c r="R22" s="21"/>
      <c r="S22" s="21"/>
      <c r="T22" s="21"/>
      <c r="AH22" s="102">
        <v>0.16</v>
      </c>
      <c r="AI22" s="78" t="s">
        <v>308</v>
      </c>
    </row>
    <row r="23" spans="1:35" customFormat="1">
      <c r="A23" s="1548" t="s">
        <v>695</v>
      </c>
      <c r="B23" s="328" t="s">
        <v>59</v>
      </c>
      <c r="C23" s="208">
        <f>+'Anexo - ER Sector '!C6/'Anexo - ER Sector '!C4</f>
        <v>0.31556050258585305</v>
      </c>
      <c r="D23" s="209">
        <f>+'Anexo - ER Sector '!D6/'Anexo - ER Sector '!D4</f>
        <v>0.29941310968810436</v>
      </c>
      <c r="E23" s="208">
        <f>+'Anexo - ER Sector '!E6/'Anexo - ER Sector '!E4</f>
        <v>0.29036966421571619</v>
      </c>
      <c r="F23" s="209">
        <f>+'Anexo - ER Sector '!F6/'Anexo - ER Sector '!F4</f>
        <v>0.26868434274668335</v>
      </c>
      <c r="G23" s="209">
        <f>+'Anexo - ER Sector '!G6/'Anexo - ER Sector '!G4</f>
        <v>0.25820286330163894</v>
      </c>
      <c r="H23" s="209">
        <f>+'Anexo - ER Sector '!H6/'Anexo - ER Sector '!H4</f>
        <v>0.27135216510845667</v>
      </c>
      <c r="I23" s="209">
        <f>+'Anexo - ER Sector '!I6/'Anexo - ER Sector '!I4</f>
        <v>0.28570854551462327</v>
      </c>
      <c r="J23" s="205">
        <f t="shared" si="0"/>
        <v>0.27486351617742366</v>
      </c>
      <c r="K23" s="21"/>
      <c r="L23" s="21"/>
      <c r="M23" s="21"/>
      <c r="N23" s="21"/>
      <c r="O23" s="21"/>
      <c r="P23" s="21"/>
      <c r="Q23" s="21"/>
      <c r="R23" s="21"/>
      <c r="S23" s="21"/>
      <c r="T23" s="21"/>
      <c r="AH23" s="101">
        <v>0.17</v>
      </c>
      <c r="AI23" s="78" t="s">
        <v>308</v>
      </c>
    </row>
    <row r="24" spans="1:35" s="64" customFormat="1" ht="30">
      <c r="A24" s="1549"/>
      <c r="B24" s="327" t="s">
        <v>498</v>
      </c>
      <c r="C24" s="206">
        <f>+'Anexo 2 - ER'!D8/'Anexo 2 - ER'!D4</f>
        <v>0.61968153291365968</v>
      </c>
      <c r="D24" s="207">
        <f>+'Anexo 2 - ER'!E8/'Anexo 2 - ER'!E4</f>
        <v>0.64731415236069956</v>
      </c>
      <c r="E24" s="206">
        <f>+'Anexo 2 - ER'!F8/'Anexo 2 - ER'!F4</f>
        <v>0.65898030785898154</v>
      </c>
      <c r="F24" s="207">
        <f>+'Anexo 2 - ER'!G8/'Anexo 2 - ER'!G4</f>
        <v>0.61845653853255722</v>
      </c>
      <c r="G24" s="207">
        <f>+'Anexo 2 - ER'!H8/'Anexo 2 - ER'!H4</f>
        <v>0.64342623787752673</v>
      </c>
      <c r="H24" s="207">
        <f>+'Anexo 2 - ER'!I8/'Anexo 2 - ER'!I4</f>
        <v>0.64345171427175862</v>
      </c>
      <c r="I24" s="207">
        <f>+'Anexo 2 - ER'!J8/'Anexo 2 - ER'!J4</f>
        <v>0.62108331452631071</v>
      </c>
      <c r="J24" s="205">
        <f t="shared" si="0"/>
        <v>0.63707962261342699</v>
      </c>
      <c r="K24" s="21"/>
      <c r="L24" s="21"/>
      <c r="M24" s="21"/>
      <c r="N24" s="21"/>
      <c r="O24" s="21"/>
      <c r="P24" s="21"/>
      <c r="Q24" s="21"/>
      <c r="R24" s="21"/>
      <c r="S24" s="21"/>
      <c r="T24" s="21"/>
      <c r="AH24" s="102">
        <v>0.18</v>
      </c>
      <c r="AI24" s="78" t="s">
        <v>308</v>
      </c>
    </row>
    <row r="25" spans="1:35" customFormat="1">
      <c r="A25" s="1548" t="s">
        <v>450</v>
      </c>
      <c r="B25" s="328" t="s">
        <v>59</v>
      </c>
      <c r="C25" s="208">
        <f>+'Anexo - ER Sector '!C9/'Anexo - ER Sector '!C4</f>
        <v>8.1627314442819898E-2</v>
      </c>
      <c r="D25" s="209">
        <f>+'Anexo - ER Sector '!D9/'Anexo - ER Sector '!D4</f>
        <v>7.6405557539644092E-2</v>
      </c>
      <c r="E25" s="208">
        <f>+'Anexo - ER Sector '!E9/'Anexo - ER Sector '!E4</f>
        <v>9.2617056268455469E-2</v>
      </c>
      <c r="F25" s="209">
        <f>+'Anexo - ER Sector '!F9/'Anexo - ER Sector '!F4</f>
        <v>5.4217981122161321E-2</v>
      </c>
      <c r="G25" s="209">
        <f>+'Anexo - ER Sector '!G9/'Anexo - ER Sector '!G4</f>
        <v>5.6418604768027431E-2</v>
      </c>
      <c r="H25" s="209">
        <f>+'Anexo - ER Sector '!H9/'Anexo - ER Sector '!H4</f>
        <v>5.4372816327785761E-2</v>
      </c>
      <c r="I25" s="209">
        <f>+'Anexo - ER Sector '!I9/'Anexo - ER Sector '!I4</f>
        <v>5.3087320588990898E-2</v>
      </c>
      <c r="J25" s="205">
        <f t="shared" si="0"/>
        <v>6.2142755815084175E-2</v>
      </c>
      <c r="K25" s="233"/>
      <c r="L25" s="21"/>
      <c r="M25" s="21"/>
      <c r="N25" s="21"/>
      <c r="O25" s="21"/>
      <c r="P25" s="21"/>
      <c r="Q25" s="21"/>
      <c r="R25" s="21"/>
      <c r="S25" s="21"/>
      <c r="T25" s="21"/>
      <c r="AH25" s="101">
        <v>0.19</v>
      </c>
      <c r="AI25" s="78" t="s">
        <v>308</v>
      </c>
    </row>
    <row r="26" spans="1:35" s="64" customFormat="1" ht="30">
      <c r="A26" s="1549"/>
      <c r="B26" s="327" t="s">
        <v>498</v>
      </c>
      <c r="C26" s="206">
        <f>+'Anexo 2 - ER'!D14/'Anexo 2 - ER'!D4</f>
        <v>0.27235471682447293</v>
      </c>
      <c r="D26" s="207">
        <f>+'Anexo 2 - ER'!E14/'Anexo 2 - ER'!E4</f>
        <v>0.25368020351271381</v>
      </c>
      <c r="E26" s="206">
        <f>+'Anexo 2 - ER'!F14/'Anexo 2 - ER'!F4</f>
        <v>0.27607153850349037</v>
      </c>
      <c r="F26" s="207">
        <f>+'Anexo 2 - ER'!G14/'Anexo 2 - ER'!G4</f>
        <v>0.21425059007036079</v>
      </c>
      <c r="G26" s="207">
        <f>+'Anexo 2 - ER'!H14/'Anexo 2 - ER'!H4</f>
        <v>0.23872939577133079</v>
      </c>
      <c r="H26" s="207">
        <f>+'Anexo 2 - ER'!I14/'Anexo 2 - ER'!I4</f>
        <v>0.18193886720064456</v>
      </c>
      <c r="I26" s="207">
        <f>+'Anexo 2 - ER'!J14/'Anexo 2 - ER'!J4</f>
        <v>0.12914504693081905</v>
      </c>
      <c r="J26" s="205">
        <f t="shared" si="0"/>
        <v>0.2080270876953291</v>
      </c>
      <c r="K26" s="21"/>
      <c r="L26" s="21"/>
      <c r="M26" s="21"/>
      <c r="N26" s="21"/>
      <c r="O26" s="21"/>
      <c r="P26" s="21"/>
      <c r="Q26" s="21"/>
      <c r="R26" s="21"/>
      <c r="S26" s="21"/>
      <c r="T26" s="21"/>
      <c r="AH26" s="102">
        <v>0.2</v>
      </c>
      <c r="AI26" s="78" t="s">
        <v>308</v>
      </c>
    </row>
    <row r="27" spans="1:35" customFormat="1">
      <c r="A27" s="1548" t="s">
        <v>451</v>
      </c>
      <c r="B27" s="328" t="s">
        <v>59</v>
      </c>
      <c r="C27" s="208">
        <f>+'Anexo - ER Sector '!C19/'Anexo - ER Sector '!C4</f>
        <v>4.0105451931921589E-2</v>
      </c>
      <c r="D27" s="209">
        <f>+'Anexo - ER Sector '!D19/'Anexo - ER Sector '!D4</f>
        <v>4.1722767154444833E-2</v>
      </c>
      <c r="E27" s="208">
        <f>+'Anexo - ER Sector '!E19/'Anexo - ER Sector '!E4</f>
        <v>5.3472431599659108E-2</v>
      </c>
      <c r="F27" s="209">
        <f>+'Anexo - ER Sector '!F19/'Anexo - ER Sector '!F4</f>
        <v>4.4939125810068439E-2</v>
      </c>
      <c r="G27" s="209">
        <f>+'Anexo - ER Sector '!G19/'Anexo - ER Sector '!G4</f>
        <v>3.8840526611409486E-2</v>
      </c>
      <c r="H27" s="209">
        <f>+'Anexo - ER Sector '!H19/'Anexo - ER Sector '!H4</f>
        <v>4.5674531429052076E-2</v>
      </c>
      <c r="I27" s="209">
        <f>+'Anexo - ER Sector '!I19/'Anexo - ER Sector '!I4</f>
        <v>2.9160153219363501E-2</v>
      </c>
      <c r="J27" s="205">
        <f t="shared" si="0"/>
        <v>4.2417353733910521E-2</v>
      </c>
      <c r="K27" s="21"/>
      <c r="L27" s="21"/>
      <c r="M27" s="21"/>
      <c r="N27" s="21"/>
      <c r="O27" s="21"/>
      <c r="P27" s="21"/>
      <c r="Q27" s="21"/>
      <c r="R27" s="21"/>
      <c r="S27" s="21"/>
      <c r="T27" s="21"/>
      <c r="AH27" s="101">
        <v>0.21</v>
      </c>
      <c r="AI27" s="78" t="s">
        <v>308</v>
      </c>
    </row>
    <row r="28" spans="1:35" s="16" customFormat="1" ht="30.75" thickBot="1">
      <c r="A28" s="1550"/>
      <c r="B28" s="329" t="s">
        <v>498</v>
      </c>
      <c r="C28" s="214">
        <f>+'Anexo 2 - ER'!D27/'Anexo 2 - ER'!D4</f>
        <v>0.30176463452463731</v>
      </c>
      <c r="D28" s="215">
        <f>+'Anexo 2 - ER'!E27/'Anexo 2 - ER'!E4</f>
        <v>0.1751094360512449</v>
      </c>
      <c r="E28" s="214">
        <f>+'Anexo 2 - ER'!F27/'Anexo 2 - ER'!F4</f>
        <v>0.21200182687205088</v>
      </c>
      <c r="F28" s="215">
        <f>+'Anexo 2 - ER'!G27/'Anexo 2 - ER'!G4</f>
        <v>0.19688905404532139</v>
      </c>
      <c r="G28" s="215">
        <f>+'Anexo 2 - ER'!H27/'Anexo 2 - ER'!H4</f>
        <v>0.16251877279901547</v>
      </c>
      <c r="H28" s="215">
        <f>+'Anexo 2 - ER'!I27/'Anexo 2 - ER'!I4</f>
        <v>0.1388247346350828</v>
      </c>
      <c r="I28" s="215">
        <f>+'Anexo 2 - ER'!J27/'Anexo 2 - ER'!J4</f>
        <v>0.15027600035428931</v>
      </c>
      <c r="J28" s="205">
        <f t="shared" si="0"/>
        <v>0.17210207774115199</v>
      </c>
      <c r="K28" s="21"/>
      <c r="L28" s="21"/>
      <c r="M28" s="21"/>
      <c r="N28" s="21"/>
      <c r="O28" s="21"/>
      <c r="P28" s="21"/>
      <c r="Q28" s="21"/>
      <c r="R28" s="21"/>
      <c r="S28" s="21"/>
      <c r="T28" s="21"/>
      <c r="AH28" s="102">
        <v>0.22</v>
      </c>
      <c r="AI28" s="78" t="s">
        <v>308</v>
      </c>
    </row>
    <row r="29" spans="1:35" ht="30.75" customHeight="1" thickBot="1">
      <c r="A29" s="186" t="s">
        <v>3</v>
      </c>
      <c r="B29" s="330"/>
      <c r="C29" s="201"/>
      <c r="D29" s="201"/>
      <c r="E29" s="201"/>
      <c r="F29" s="201"/>
      <c r="G29" s="201"/>
      <c r="H29" s="201"/>
      <c r="I29" s="201"/>
      <c r="J29" s="205"/>
      <c r="AH29" s="101">
        <v>0.23</v>
      </c>
      <c r="AI29" s="78" t="s">
        <v>308</v>
      </c>
    </row>
    <row r="30" spans="1:35" customFormat="1">
      <c r="A30" s="1552" t="s">
        <v>452</v>
      </c>
      <c r="B30" s="331" t="s">
        <v>59</v>
      </c>
      <c r="C30" s="195">
        <f>+'Anexo - Balance Sector '!C49/'Anexo - Balance Sector '!C26</f>
        <v>0.56512169920380051</v>
      </c>
      <c r="D30" s="35">
        <f>+'Anexo - Balance Sector '!D49/'Anexo - Balance Sector '!D26</f>
        <v>0.55355566157827085</v>
      </c>
      <c r="E30" s="195">
        <f>+'Anexo - Balance Sector '!E49/'Anexo - Balance Sector '!E26</f>
        <v>0.58569990745695177</v>
      </c>
      <c r="F30" s="35">
        <f>+'Anexo - Balance Sector '!F49/'Anexo - Balance Sector '!F26</f>
        <v>0.58486654812467176</v>
      </c>
      <c r="G30" s="35">
        <f>+'Anexo - Balance Sector '!G49/'Anexo - Balance Sector '!G26</f>
        <v>0.58595068465787592</v>
      </c>
      <c r="H30" s="195">
        <f>+'Anexo - Balance Sector '!H49/'Anexo - Balance Sector '!H26</f>
        <v>0.57914695963366347</v>
      </c>
      <c r="I30" s="35">
        <f>+'Anexo - Balance Sector '!I49/'Anexo - Balance Sector '!I26</f>
        <v>0.6038966067518251</v>
      </c>
      <c r="J30" s="205">
        <f t="shared" si="0"/>
        <v>0.58791214132499758</v>
      </c>
      <c r="K30" s="21"/>
      <c r="L30" s="21"/>
      <c r="M30" s="21"/>
      <c r="N30" s="21"/>
      <c r="O30" s="21"/>
      <c r="P30" s="21"/>
      <c r="Q30" s="21"/>
      <c r="R30" s="21"/>
      <c r="S30" s="21"/>
      <c r="T30" s="21"/>
      <c r="AH30" s="102">
        <v>0.24</v>
      </c>
      <c r="AI30" s="78" t="s">
        <v>308</v>
      </c>
    </row>
    <row r="31" spans="1:35" s="64" customFormat="1" ht="30">
      <c r="A31" s="1553"/>
      <c r="B31" s="332" t="s">
        <v>498</v>
      </c>
      <c r="C31" s="198">
        <f>+'Anexo 1 - Balance'!D206/'Anexo 1 - Balance'!D106</f>
        <v>0.23003772163457967</v>
      </c>
      <c r="D31" s="36">
        <f>+'Anexo 1 - Balance'!E206/'Anexo 1 - Balance'!E106</f>
        <v>0.21973316057298761</v>
      </c>
      <c r="E31" s="198">
        <f>+'Anexo 1 - Balance'!F206/'Anexo 1 - Balance'!F106</f>
        <v>0.36064935569107459</v>
      </c>
      <c r="F31" s="36">
        <f>+'Anexo 1 - Balance'!G206/'Anexo 1 - Balance'!G106</f>
        <v>0.34338083327590163</v>
      </c>
      <c r="G31" s="36">
        <f>+'Anexo 1 - Balance'!H206/'Anexo 1 - Balance'!H106</f>
        <v>0.44603430108182279</v>
      </c>
      <c r="H31" s="198">
        <f>+'Anexo 1 - Balance'!I206/'Anexo 1 - Balance'!I106</f>
        <v>0.59721552232406072</v>
      </c>
      <c r="I31" s="36">
        <f>+'Anexo 1 - Balance'!J206/'Anexo 1 - Balance'!J106</f>
        <v>0.67743336281985533</v>
      </c>
      <c r="J31" s="205">
        <f t="shared" si="0"/>
        <v>0.48494267503854305</v>
      </c>
      <c r="K31" s="21"/>
      <c r="L31" s="21"/>
      <c r="M31" s="21"/>
      <c r="N31" s="21"/>
      <c r="O31" s="21"/>
      <c r="P31" s="21"/>
      <c r="Q31" s="21"/>
      <c r="R31" s="21"/>
      <c r="S31" s="21"/>
      <c r="T31" s="21"/>
      <c r="AH31" s="101">
        <v>0.25</v>
      </c>
      <c r="AI31" s="78" t="s">
        <v>308</v>
      </c>
    </row>
    <row r="32" spans="1:35" customFormat="1">
      <c r="A32" s="1554" t="s">
        <v>453</v>
      </c>
      <c r="B32" s="333" t="s">
        <v>59</v>
      </c>
      <c r="C32" s="199">
        <f>+'Anexo - Balance Sector '!C49/('Anexo - Balance Sector '!C26-'Anexo - Balance Sector '!C23)</f>
        <v>0.6393095336042901</v>
      </c>
      <c r="D32" s="200">
        <f>+'Anexo - Balance Sector '!D49/('Anexo - Balance Sector '!D26-'Anexo - Balance Sector '!D23)</f>
        <v>0.6331342954951743</v>
      </c>
      <c r="E32" s="199">
        <f>+'Anexo - Balance Sector '!E49/('Anexo - Balance Sector '!E26-'Anexo - Balance Sector '!E23)</f>
        <v>0.65378740916721634</v>
      </c>
      <c r="F32" s="200">
        <f>+'Anexo - Balance Sector '!F49/('Anexo - Balance Sector '!F26-'Anexo - Balance Sector '!F23)</f>
        <v>0.65851710382393991</v>
      </c>
      <c r="G32" s="200">
        <f>+'Anexo - Balance Sector '!G49/('Anexo - Balance Sector '!G26-'Anexo - Balance Sector '!G23)</f>
        <v>0.65701097441695611</v>
      </c>
      <c r="H32" s="199">
        <f>+'Anexo - Balance Sector '!H49/('Anexo - Balance Sector '!H26-'Anexo - Balance Sector '!H23)</f>
        <v>0.64489735842708984</v>
      </c>
      <c r="I32" s="200">
        <f>+'Anexo - Balance Sector '!I49/('Anexo - Balance Sector '!I26-'Anexo - Balance Sector '!I23)</f>
        <v>0.67134669396548341</v>
      </c>
      <c r="J32" s="205">
        <f t="shared" si="0"/>
        <v>0.65711190796013708</v>
      </c>
      <c r="K32" s="21"/>
      <c r="L32" s="21"/>
      <c r="M32" s="21"/>
      <c r="N32" s="21"/>
      <c r="O32" s="21"/>
      <c r="P32" s="21"/>
      <c r="Q32" s="21"/>
      <c r="R32" s="21"/>
      <c r="S32" s="21"/>
      <c r="T32" s="21"/>
      <c r="AH32" s="102">
        <v>0.26</v>
      </c>
      <c r="AI32" s="78" t="s">
        <v>308</v>
      </c>
    </row>
    <row r="33" spans="1:35" s="16" customFormat="1" ht="30">
      <c r="A33" s="1555"/>
      <c r="B33" s="332" t="s">
        <v>498</v>
      </c>
      <c r="C33" s="199">
        <f>+'Anexo 1 - Balance'!D206/('Anexo 1 - Balance'!D106-'Anexo 1 - Balance'!D104)</f>
        <v>0.2301102854906785</v>
      </c>
      <c r="D33" s="200">
        <f>+'Anexo 1 - Balance'!E206/('Anexo 1 - Balance'!E106-'Anexo 1 - Balance'!E104)</f>
        <v>0.21984800792213341</v>
      </c>
      <c r="E33" s="199">
        <f>+'Anexo 1 - Balance'!F206/('Anexo 1 - Balance'!F106-'Anexo 1 - Balance'!F104)</f>
        <v>0.36064935569107459</v>
      </c>
      <c r="F33" s="200">
        <f>+'Anexo 1 - Balance'!G206/('Anexo 1 - Balance'!G106-'Anexo 1 - Balance'!G104)</f>
        <v>0.34338083327590163</v>
      </c>
      <c r="G33" s="200">
        <f>+'Anexo 1 - Balance'!H206/('Anexo 1 - Balance'!H106-'Anexo 1 - Balance'!H104)</f>
        <v>0.44603430108182279</v>
      </c>
      <c r="H33" s="199">
        <f>+'Anexo 1 - Balance'!I206/('Anexo 1 - Balance'!I106-'Anexo 1 - Balance'!I104)</f>
        <v>0.59721552232406072</v>
      </c>
      <c r="I33" s="200">
        <f>+'Anexo 1 - Balance'!J206/('Anexo 1 - Balance'!J106-'Anexo 1 - Balance'!J104)</f>
        <v>0.67743336281985533</v>
      </c>
      <c r="J33" s="205">
        <f t="shared" si="0"/>
        <v>0.48494267503854305</v>
      </c>
      <c r="K33" s="21"/>
      <c r="L33" s="21"/>
      <c r="M33" s="21"/>
      <c r="N33" s="21"/>
      <c r="O33" s="21"/>
      <c r="P33" s="21"/>
      <c r="Q33" s="21"/>
      <c r="R33" s="21"/>
      <c r="S33" s="21"/>
      <c r="T33" s="21"/>
      <c r="AH33" s="101">
        <v>0.27</v>
      </c>
      <c r="AI33" s="78" t="s">
        <v>308</v>
      </c>
    </row>
    <row r="34" spans="1:35" customFormat="1">
      <c r="A34" s="1554" t="s">
        <v>454</v>
      </c>
      <c r="B34" s="333" t="s">
        <v>59</v>
      </c>
      <c r="C34" s="199">
        <f>+'Anexo - Balance Sector '!C37/'Anexo - Balance Sector '!C49</f>
        <v>0.813143527185205</v>
      </c>
      <c r="D34" s="200">
        <f>+'Anexo - Balance Sector '!D37/'Anexo - Balance Sector '!D49</f>
        <v>0.75753586238719262</v>
      </c>
      <c r="E34" s="199">
        <f>+'Anexo - Balance Sector '!E37/'Anexo - Balance Sector '!E49</f>
        <v>0.72277322089948026</v>
      </c>
      <c r="F34" s="200">
        <f>+'Anexo - Balance Sector '!F37/'Anexo - Balance Sector '!F49</f>
        <v>0.75432114323453603</v>
      </c>
      <c r="G34" s="200">
        <f>+'Anexo - Balance Sector '!G37/'Anexo - Balance Sector '!G49</f>
        <v>0.75635540788079869</v>
      </c>
      <c r="H34" s="199">
        <f>+'Anexo - Balance Sector '!H37/'Anexo - Balance Sector '!H49</f>
        <v>0.67255568703203306</v>
      </c>
      <c r="I34" s="200">
        <f>+'Anexo - Balance Sector '!I37/'Anexo - Balance Sector '!I49</f>
        <v>0.68755253074454625</v>
      </c>
      <c r="J34" s="205">
        <f t="shared" si="0"/>
        <v>0.71871159795827888</v>
      </c>
      <c r="K34" s="21"/>
      <c r="L34" s="21"/>
      <c r="M34" s="21"/>
      <c r="N34" s="21"/>
      <c r="O34" s="21"/>
      <c r="P34" s="21"/>
      <c r="Q34" s="21"/>
      <c r="R34" s="21"/>
      <c r="S34" s="21"/>
      <c r="T34" s="21"/>
      <c r="AH34" s="102">
        <v>0.28000000000000003</v>
      </c>
      <c r="AI34" s="78" t="s">
        <v>308</v>
      </c>
    </row>
    <row r="35" spans="1:35" s="16" customFormat="1" ht="30">
      <c r="A35" s="1555"/>
      <c r="B35" s="332" t="s">
        <v>498</v>
      </c>
      <c r="C35" s="198">
        <f>+'Anexo 1 - Balance'!D157/'Anexo 1 - Balance'!D206</f>
        <v>1</v>
      </c>
      <c r="D35" s="36">
        <f>+'Anexo 1 - Balance'!E157/'Anexo 1 - Balance'!E206</f>
        <v>1</v>
      </c>
      <c r="E35" s="198">
        <f>+'Anexo 1 - Balance'!F157/'Anexo 1 - Balance'!F206</f>
        <v>1</v>
      </c>
      <c r="F35" s="36">
        <f>+'Anexo 1 - Balance'!G157/'Anexo 1 - Balance'!G206</f>
        <v>1</v>
      </c>
      <c r="G35" s="36">
        <f>+'Anexo 1 - Balance'!H157/'Anexo 1 - Balance'!H206</f>
        <v>0.94927394563987899</v>
      </c>
      <c r="H35" s="198">
        <f>+'Anexo 1 - Balance'!I157/'Anexo 1 - Balance'!I206</f>
        <v>0.99365029504812763</v>
      </c>
      <c r="I35" s="36">
        <f>+'Anexo 1 - Balance'!J157/'Anexo 1 - Balance'!J206</f>
        <v>1</v>
      </c>
      <c r="J35" s="205">
        <f t="shared" si="0"/>
        <v>0.98858484813760139</v>
      </c>
      <c r="K35" s="21"/>
      <c r="L35" s="21"/>
      <c r="M35" s="21"/>
      <c r="N35" s="21"/>
      <c r="O35" s="21"/>
      <c r="P35" s="21"/>
      <c r="Q35" s="21"/>
      <c r="R35" s="21"/>
      <c r="S35" s="21"/>
      <c r="T35" s="21"/>
      <c r="AH35" s="101">
        <v>0.28999999999999998</v>
      </c>
      <c r="AI35" s="78" t="s">
        <v>308</v>
      </c>
    </row>
    <row r="36" spans="1:35" customFormat="1">
      <c r="A36" s="1554" t="s">
        <v>455</v>
      </c>
      <c r="B36" s="333" t="s">
        <v>59</v>
      </c>
      <c r="C36" s="199">
        <f>+'Anexo - Balance Sector '!C24/'Anexo - Balance Sector '!C59</f>
        <v>0.84910322940068794</v>
      </c>
      <c r="D36" s="200">
        <f>+'Anexo - Balance Sector '!D24/'Anexo - Balance Sector '!D59</f>
        <v>0.92653021224169796</v>
      </c>
      <c r="E36" s="199">
        <f>+'Anexo - Balance Sector '!E24/'Anexo - Balance Sector '!E59</f>
        <v>0.9770882669053742</v>
      </c>
      <c r="F36" s="200">
        <f>+'Anexo - Balance Sector '!F24/'Anexo - Balance Sector '!F59</f>
        <v>1.0143072029196361</v>
      </c>
      <c r="G36" s="200">
        <f>+'Anexo - Balance Sector '!G24/'Anexo - Balance Sector '!G59</f>
        <v>0.98887314285007422</v>
      </c>
      <c r="H36" s="199">
        <f>+'Anexo - Balance Sector '!H24/'Anexo - Balance Sector '!H59</f>
        <v>0.95228214478744089</v>
      </c>
      <c r="I36" s="200">
        <f>+'Anexo - Balance Sector '!I24/'Anexo - Balance Sector '!I59</f>
        <v>1.0273664006673193</v>
      </c>
      <c r="J36" s="205">
        <f t="shared" si="0"/>
        <v>0.99198343162596903</v>
      </c>
      <c r="K36" s="21"/>
      <c r="L36" s="21"/>
      <c r="M36" s="21"/>
      <c r="N36" s="21"/>
      <c r="O36" s="21"/>
      <c r="P36" s="21"/>
      <c r="Q36" s="21"/>
      <c r="R36" s="21"/>
      <c r="S36" s="21"/>
      <c r="T36" s="21"/>
      <c r="AH36" s="102">
        <v>0.3</v>
      </c>
      <c r="AI36" s="78" t="s">
        <v>308</v>
      </c>
    </row>
    <row r="37" spans="1:35" s="16" customFormat="1" ht="30">
      <c r="A37" s="1555"/>
      <c r="B37" s="332" t="s">
        <v>498</v>
      </c>
      <c r="C37" s="198">
        <f>+'Anexo 1 - Balance'!D105/'Anexo 1 - Balance'!D229</f>
        <v>0.11331378278870904</v>
      </c>
      <c r="D37" s="36">
        <f>+'Anexo 1 - Balance'!E105/'Anexo 1 - Balance'!E229</f>
        <v>0.7406466867583047</v>
      </c>
      <c r="E37" s="198">
        <f>+'Anexo 1 - Balance'!F105/'Anexo 1 - Balance'!F229</f>
        <v>0.85328000083560829</v>
      </c>
      <c r="F37" s="36">
        <f>+'Anexo 1 - Balance'!G105/'Anexo 1 - Balance'!G229</f>
        <v>0.85645355971248982</v>
      </c>
      <c r="G37" s="36">
        <f>+'Anexo 1 - Balance'!H105/'Anexo 1 - Balance'!H229</f>
        <v>0.20715599463355433</v>
      </c>
      <c r="H37" s="198">
        <f>+'Anexo 1 - Balance'!I105/'Anexo 1 - Balance'!I229</f>
        <v>0.29721547623008082</v>
      </c>
      <c r="I37" s="36">
        <f>+'Anexo 1 - Balance'!J105/'Anexo 1 - Balance'!J229</f>
        <v>0.24521685269222518</v>
      </c>
      <c r="J37" s="205">
        <f t="shared" si="0"/>
        <v>0.4918643768207917</v>
      </c>
      <c r="K37" s="21"/>
      <c r="L37" s="21"/>
      <c r="M37" s="21"/>
      <c r="N37" s="21"/>
      <c r="O37" s="21"/>
      <c r="P37" s="21"/>
      <c r="Q37" s="21"/>
      <c r="R37" s="21"/>
      <c r="S37" s="21"/>
      <c r="T37" s="21"/>
      <c r="AH37" s="101">
        <v>0.31</v>
      </c>
      <c r="AI37" s="78" t="s">
        <v>308</v>
      </c>
    </row>
    <row r="38" spans="1:35" customFormat="1">
      <c r="A38" s="1554" t="s">
        <v>456</v>
      </c>
      <c r="B38" s="333" t="s">
        <v>59</v>
      </c>
      <c r="C38" s="199">
        <f>+'Anexo - Balance Sector '!C49/'Anexo - ER Sector '!C4</f>
        <v>0.3993801314074093</v>
      </c>
      <c r="D38" s="200">
        <f>+'Anexo - Balance Sector '!D49/'Anexo - ER Sector '!D4</f>
        <v>0.40865487102963122</v>
      </c>
      <c r="E38" s="199">
        <f>+'Anexo - Balance Sector '!E49/'Anexo - ER Sector '!E4</f>
        <v>0.41142099939989762</v>
      </c>
      <c r="F38" s="200">
        <f>+'Anexo - Balance Sector '!F49/'Anexo - ER Sector '!F4</f>
        <v>0.4382619501474711</v>
      </c>
      <c r="G38" s="200">
        <f>+'Anexo - Balance Sector '!G49/'Anexo - ER Sector '!G4</f>
        <v>0.41810613316314726</v>
      </c>
      <c r="H38" s="199">
        <f>+'Anexo - Balance Sector '!H49/'Anexo - ER Sector '!H4</f>
        <v>0.4507752912542769</v>
      </c>
      <c r="I38" s="200">
        <f>+'Anexo - Balance Sector '!I49/'Anexo - ER Sector '!I4</f>
        <v>0.47501849840407184</v>
      </c>
      <c r="J38" s="205">
        <f t="shared" si="0"/>
        <v>0.43871657447377299</v>
      </c>
      <c r="K38" s="21"/>
      <c r="L38" s="21"/>
      <c r="M38" s="21"/>
      <c r="N38" s="21"/>
      <c r="O38" s="21"/>
      <c r="P38" s="21"/>
      <c r="Q38" s="21"/>
      <c r="R38" s="21"/>
      <c r="S38" s="21"/>
      <c r="T38" s="21"/>
      <c r="AH38" s="102">
        <v>0.32</v>
      </c>
      <c r="AI38" s="78" t="s">
        <v>308</v>
      </c>
    </row>
    <row r="39" spans="1:35" s="16" customFormat="1" ht="30">
      <c r="A39" s="1555"/>
      <c r="B39" s="332" t="s">
        <v>498</v>
      </c>
      <c r="C39" s="198">
        <f>+'Anexo 1 - Balance'!D206/'Anexo 2 - ER'!D4</f>
        <v>0.28912991141666178</v>
      </c>
      <c r="D39" s="36">
        <f>+'Anexo 1 - Balance'!E206/'Anexo 2 - ER'!E4</f>
        <v>0.26721171704726915</v>
      </c>
      <c r="E39" s="198">
        <f>+'Anexo 1 - Balance'!F206/'Anexo 2 - ER'!F4</f>
        <v>0.428223027601629</v>
      </c>
      <c r="F39" s="36">
        <f>+'Anexo 1 - Balance'!G206/'Anexo 2 - ER'!G4</f>
        <v>0.40096420124611187</v>
      </c>
      <c r="G39" s="36">
        <f>+'Anexo 1 - Balance'!H206/'Anexo 2 - ER'!H4</f>
        <v>0.27197839599006107</v>
      </c>
      <c r="H39" s="198">
        <f>+'Anexo 1 - Balance'!I206/'Anexo 2 - ER'!I4</f>
        <v>0.44701643185825296</v>
      </c>
      <c r="I39" s="36">
        <f>+'Anexo 1 - Balance'!J206/'Anexo 2 - ER'!J4</f>
        <v>0.65647637295852057</v>
      </c>
      <c r="J39" s="205">
        <f t="shared" si="0"/>
        <v>0.44093168593091503</v>
      </c>
      <c r="K39" s="21"/>
      <c r="L39" s="21"/>
      <c r="M39" s="21"/>
      <c r="N39" s="21"/>
      <c r="O39" s="21"/>
      <c r="P39" s="21"/>
      <c r="Q39" s="21"/>
      <c r="R39" s="21"/>
      <c r="S39" s="21"/>
      <c r="T39" s="21"/>
      <c r="AH39" s="101">
        <v>0.33</v>
      </c>
      <c r="AI39" s="78" t="s">
        <v>308</v>
      </c>
    </row>
    <row r="40" spans="1:35" customFormat="1">
      <c r="A40" s="1554" t="s">
        <v>457</v>
      </c>
      <c r="B40" s="333" t="s">
        <v>59</v>
      </c>
      <c r="C40" s="199">
        <f>+('Anexo - Balance Sector '!C28+'Anexo - Balance Sector '!C39)/'Anexo - ER Sector '!C4</f>
        <v>0.17117206825192915</v>
      </c>
      <c r="D40" s="200">
        <f>+('Anexo - Balance Sector '!D28+'Anexo - Balance Sector '!D39)/'Anexo - ER Sector '!D4</f>
        <v>0.15990984547795462</v>
      </c>
      <c r="E40" s="199">
        <f>+('Anexo - Balance Sector '!E28+'Anexo - Balance Sector '!E39)/'Anexo - ER Sector '!E4</f>
        <v>0.16351453171392835</v>
      </c>
      <c r="F40" s="200">
        <f>+('Anexo - Balance Sector '!F28+'Anexo - Balance Sector '!F39)/'Anexo - ER Sector '!F4</f>
        <v>0.16785781405213843</v>
      </c>
      <c r="G40" s="200">
        <f>+('Anexo - Balance Sector '!G28+'Anexo - Balance Sector '!G39)/'Anexo - ER Sector '!G4</f>
        <v>0.16209995858795195</v>
      </c>
      <c r="H40" s="199">
        <f>+('Anexo - Balance Sector '!H28+'Anexo - Balance Sector '!H39)/'Anexo - ER Sector '!H4</f>
        <v>0.17848182379760666</v>
      </c>
      <c r="I40" s="200">
        <f>+('Anexo - Balance Sector '!I28+'Anexo - Balance Sector '!I39)/'Anexo - ER Sector '!I4</f>
        <v>0.19533951357425927</v>
      </c>
      <c r="J40" s="205">
        <f t="shared" si="0"/>
        <v>0.17345872834517692</v>
      </c>
      <c r="K40" s="21"/>
      <c r="L40" s="21"/>
      <c r="M40" s="21"/>
      <c r="N40" s="21"/>
      <c r="O40" s="21"/>
      <c r="P40" s="21"/>
      <c r="Q40" s="21"/>
      <c r="R40" s="21"/>
      <c r="S40" s="21"/>
      <c r="T40" s="21"/>
      <c r="AH40" s="102">
        <v>0.34</v>
      </c>
      <c r="AI40" s="78" t="s">
        <v>308</v>
      </c>
    </row>
    <row r="41" spans="1:35" s="16" customFormat="1" ht="30">
      <c r="A41" s="1555"/>
      <c r="B41" s="332" t="s">
        <v>498</v>
      </c>
      <c r="C41" s="198">
        <f>+('Anexo 1 - Balance'!D107+'Anexo 1 - Balance'!D158)/'Anexo 2 - ER'!D4</f>
        <v>0</v>
      </c>
      <c r="D41" s="36">
        <f>+('Anexo 1 - Balance'!E107+'Anexo 1 - Balance'!E158)/'Anexo 2 - ER'!E4</f>
        <v>0</v>
      </c>
      <c r="E41" s="198">
        <f>+('Anexo 1 - Balance'!F107+'Anexo 1 - Balance'!F158)/'Anexo 2 - ER'!F4</f>
        <v>0</v>
      </c>
      <c r="F41" s="36">
        <f>+('Anexo 1 - Balance'!G107+'Anexo 1 - Balance'!G158)/'Anexo 2 - ER'!G4</f>
        <v>0</v>
      </c>
      <c r="G41" s="36">
        <f>+('Anexo 1 - Balance'!H107+'Anexo 1 - Balance'!H158)/'Anexo 2 - ER'!H4</f>
        <v>0</v>
      </c>
      <c r="H41" s="198">
        <f>+('Anexo 1 - Balance'!I107+'Anexo 1 - Balance'!I158)/'Anexo 2 - ER'!I4</f>
        <v>0</v>
      </c>
      <c r="I41" s="36">
        <f>+('Anexo 1 - Balance'!J107+'Anexo 1 - Balance'!J158)/'Anexo 2 - ER'!J4</f>
        <v>0</v>
      </c>
      <c r="J41" s="205">
        <f t="shared" si="0"/>
        <v>0</v>
      </c>
      <c r="K41" s="21"/>
      <c r="L41" s="21"/>
      <c r="M41" s="21"/>
      <c r="N41" s="21"/>
      <c r="O41" s="21"/>
      <c r="P41" s="21"/>
      <c r="Q41" s="21"/>
      <c r="R41" s="21"/>
      <c r="S41" s="21"/>
      <c r="T41" s="21"/>
      <c r="AH41" s="101">
        <v>0.35</v>
      </c>
      <c r="AI41" s="78" t="s">
        <v>308</v>
      </c>
    </row>
    <row r="42" spans="1:35" customFormat="1" ht="15" customHeight="1">
      <c r="A42" s="1554" t="s">
        <v>93</v>
      </c>
      <c r="B42" s="333" t="s">
        <v>59</v>
      </c>
      <c r="C42" s="199">
        <f>+'Anexo - Balance Sector '!C49/'Anexo - Balance Sector '!C59</f>
        <v>1.2994966792808726</v>
      </c>
      <c r="D42" s="200">
        <f>+'Anexo - Balance Sector '!D49/'Anexo - Balance Sector '!D59</f>
        <v>1.2399255194041552</v>
      </c>
      <c r="E42" s="199">
        <f>+'Anexo - Balance Sector '!E49/'Anexo - Balance Sector '!E59</f>
        <v>1.4135019454864615</v>
      </c>
      <c r="F42" s="200">
        <f>+'Anexo - Balance Sector '!F49/'Anexo - Balance Sector '!F59</f>
        <v>1.4088674080832491</v>
      </c>
      <c r="G42" s="200">
        <f>+'Anexo - Balance Sector '!G49/'Anexo - Balance Sector '!G59</f>
        <v>1.4151712439705686</v>
      </c>
      <c r="H42" s="199">
        <f>+'Anexo - Balance Sector '!H49/'Anexo - Balance Sector '!H59</f>
        <v>1.3761254032054879</v>
      </c>
      <c r="I42" s="200">
        <f>+'Anexo - Balance Sector '!I49/'Anexo - Balance Sector '!I59</f>
        <v>1.5245912772427532</v>
      </c>
      <c r="J42" s="205">
        <f t="shared" si="0"/>
        <v>1.427651455597704</v>
      </c>
      <c r="K42" s="21"/>
      <c r="L42" s="103"/>
      <c r="M42" s="103"/>
      <c r="N42" s="21"/>
      <c r="O42" s="21"/>
      <c r="P42" s="21"/>
      <c r="Q42" s="21"/>
      <c r="R42" s="21"/>
      <c r="S42" s="21"/>
      <c r="T42" s="21"/>
      <c r="AH42" s="102">
        <v>0.36</v>
      </c>
      <c r="AI42" s="78" t="s">
        <v>308</v>
      </c>
    </row>
    <row r="43" spans="1:35" s="64" customFormat="1" ht="15" customHeight="1">
      <c r="A43" s="1555"/>
      <c r="B43" s="332" t="s">
        <v>498</v>
      </c>
      <c r="C43" s="198">
        <f>+'Anexo 1 - Balance'!D206/'Anexo 1 - Balance'!D229</f>
        <v>0.29876492407255945</v>
      </c>
      <c r="D43" s="36">
        <f>+'Anexo 1 - Balance'!E206/'Anexo 1 - Balance'!E229</f>
        <v>0.28161283995401915</v>
      </c>
      <c r="E43" s="198">
        <f>+'Anexo 1 - Balance'!F206/'Anexo 1 - Balance'!F229</f>
        <v>0.56408695119233176</v>
      </c>
      <c r="F43" s="36">
        <f>+'Anexo 1 - Balance'!G206/'Anexo 1 - Balance'!G229</f>
        <v>0.52295280229031926</v>
      </c>
      <c r="G43" s="36">
        <f>+'Anexo 1 - Balance'!H206/'Anexo 1 - Balance'!H229</f>
        <v>0.80516591903229673</v>
      </c>
      <c r="H43" s="198">
        <f>+'Anexo 1 - Balance'!I206/'Anexo 1 - Balance'!I229</f>
        <v>1.4827173225988888</v>
      </c>
      <c r="I43" s="36">
        <f>+'Anexo 1 - Balance'!J206/'Anexo 1 - Balance'!J229</f>
        <v>2.1001346225447599</v>
      </c>
      <c r="J43" s="205">
        <f t="shared" si="0"/>
        <v>1.0950115235317193</v>
      </c>
      <c r="K43" s="702"/>
      <c r="L43" s="103"/>
      <c r="M43" s="103"/>
      <c r="N43" s="21"/>
      <c r="O43" s="21"/>
      <c r="P43" s="21"/>
      <c r="Q43" s="21"/>
      <c r="R43" s="21"/>
      <c r="S43" s="21"/>
      <c r="T43" s="21"/>
      <c r="AH43" s="101">
        <v>0.37</v>
      </c>
      <c r="AI43" s="78" t="s">
        <v>308</v>
      </c>
    </row>
    <row r="44" spans="1:35" customFormat="1" ht="15.75" customHeight="1">
      <c r="A44" s="1554" t="s">
        <v>698</v>
      </c>
      <c r="B44" s="333" t="s">
        <v>59</v>
      </c>
      <c r="C44" s="199">
        <f>+'Anexo - Balance Sector '!C49/'Anexo - ER Sector '!C4</f>
        <v>0.3993801314074093</v>
      </c>
      <c r="D44" s="200">
        <f>+'Anexo - Balance Sector '!D49/'Anexo - ER Sector '!D4</f>
        <v>0.40865487102963122</v>
      </c>
      <c r="E44" s="199">
        <f>+'Anexo - Balance Sector '!E49/'Anexo - ER Sector '!E4</f>
        <v>0.41142099939989762</v>
      </c>
      <c r="F44" s="200">
        <f>+'Anexo - Balance Sector '!F49/'Anexo - ER Sector '!F4</f>
        <v>0.4382619501474711</v>
      </c>
      <c r="G44" s="200">
        <f>+'Anexo - Balance Sector '!G49/'Anexo - ER Sector '!G4</f>
        <v>0.41810613316314726</v>
      </c>
      <c r="H44" s="199">
        <f>+'Anexo - Balance Sector '!H49/'Anexo - ER Sector '!H4</f>
        <v>0.4507752912542769</v>
      </c>
      <c r="I44" s="200">
        <f>+'Anexo - Balance Sector '!I49/'Anexo - ER Sector '!I4</f>
        <v>0.47501849840407184</v>
      </c>
      <c r="J44" s="205">
        <f t="shared" si="0"/>
        <v>0.43871657447377299</v>
      </c>
      <c r="K44" s="104"/>
      <c r="L44" s="21"/>
      <c r="M44" s="21"/>
      <c r="N44" s="21"/>
      <c r="O44" s="21"/>
      <c r="P44" s="21"/>
      <c r="Q44" s="21"/>
      <c r="R44" s="21"/>
      <c r="S44" s="21"/>
      <c r="T44" s="21"/>
      <c r="AH44" s="102">
        <v>0.38</v>
      </c>
      <c r="AI44" s="78" t="s">
        <v>308</v>
      </c>
    </row>
    <row r="45" spans="1:35" s="64" customFormat="1" ht="15.75" customHeight="1">
      <c r="A45" s="1555"/>
      <c r="B45" s="332" t="s">
        <v>498</v>
      </c>
      <c r="C45" s="198">
        <f>+'Anexo 1 - Balance'!D206/'Anexo 2 - ER'!D4</f>
        <v>0.28912991141666178</v>
      </c>
      <c r="D45" s="36">
        <f>+'Anexo 1 - Balance'!E206/'Anexo 2 - ER'!E4</f>
        <v>0.26721171704726915</v>
      </c>
      <c r="E45" s="198">
        <f>+'Anexo 1 - Balance'!F206/'Anexo 2 - ER'!F4</f>
        <v>0.428223027601629</v>
      </c>
      <c r="F45" s="36">
        <f>+'Anexo 1 - Balance'!G206/'Anexo 2 - ER'!G4</f>
        <v>0.40096420124611187</v>
      </c>
      <c r="G45" s="36">
        <f>+'Anexo 1 - Balance'!H206/'Anexo 2 - ER'!H4</f>
        <v>0.27197839599006107</v>
      </c>
      <c r="H45" s="198">
        <f>+'Anexo 1 - Balance'!I206/'Anexo 2 - ER'!I4</f>
        <v>0.44701643185825296</v>
      </c>
      <c r="I45" s="36">
        <f>+'Anexo 1 - Balance'!J206/'Anexo 2 - ER'!J4</f>
        <v>0.65647637295852057</v>
      </c>
      <c r="J45" s="205">
        <f t="shared" si="0"/>
        <v>0.44093168593091503</v>
      </c>
      <c r="K45" s="104"/>
      <c r="L45" s="21"/>
      <c r="M45" s="21"/>
      <c r="N45" s="21"/>
      <c r="O45" s="21"/>
      <c r="P45" s="21"/>
      <c r="Q45" s="21"/>
      <c r="R45" s="21"/>
      <c r="S45" s="21"/>
      <c r="T45" s="21"/>
      <c r="AH45" s="101">
        <v>0.39</v>
      </c>
      <c r="AI45" s="78" t="s">
        <v>308</v>
      </c>
    </row>
    <row r="46" spans="1:35" customFormat="1">
      <c r="A46" s="1554" t="s">
        <v>458</v>
      </c>
      <c r="B46" s="333" t="s">
        <v>59</v>
      </c>
      <c r="C46" s="199">
        <f>+'Anexo - ER Sector '!C13/'Anexo - ER Sector '!C4</f>
        <v>4.7090886564573373E-2</v>
      </c>
      <c r="D46" s="200">
        <f>+'Anexo - ER Sector '!D13/'Anexo - ER Sector '!D4</f>
        <v>4.3477685771439768E-2</v>
      </c>
      <c r="E46" s="199">
        <f>+'Anexo - ER Sector '!E13/'Anexo - ER Sector '!E4</f>
        <v>3.0746677216384827E-2</v>
      </c>
      <c r="F46" s="200">
        <f>+'Anexo - ER Sector '!F13/'Anexo - ER Sector '!F4</f>
        <v>3.4248076227296032E-2</v>
      </c>
      <c r="G46" s="200">
        <f>+'Anexo - ER Sector '!G13/'Anexo - ER Sector '!G4</f>
        <v>3.7965231696183127E-2</v>
      </c>
      <c r="H46" s="199">
        <f>+'Anexo - ER Sector '!H13/'Anexo - ER Sector '!H4</f>
        <v>3.3069039089258886E-2</v>
      </c>
      <c r="I46" s="200">
        <f>+'Anexo - ER Sector '!I13/'Anexo - ER Sector '!I4</f>
        <v>4.4929855676113996E-2</v>
      </c>
      <c r="J46" s="205">
        <f t="shared" si="0"/>
        <v>3.6191775981047378E-2</v>
      </c>
      <c r="K46" s="21"/>
      <c r="L46" s="21"/>
      <c r="M46" s="21"/>
      <c r="N46" s="21"/>
      <c r="O46" s="21"/>
      <c r="P46" s="21"/>
      <c r="Q46" s="21"/>
      <c r="R46" s="21"/>
      <c r="S46" s="21"/>
      <c r="T46" s="21"/>
      <c r="AH46" s="102">
        <v>0.4</v>
      </c>
      <c r="AI46" s="78" t="s">
        <v>308</v>
      </c>
    </row>
    <row r="47" spans="1:35" s="16" customFormat="1" ht="30.75" thickBot="1">
      <c r="A47" s="1559"/>
      <c r="B47" s="334" t="s">
        <v>498</v>
      </c>
      <c r="C47" s="202">
        <f>'Anexo 2 - ER'!D19/'Anexo 2 - ER'!D4</f>
        <v>0.1988819737796097</v>
      </c>
      <c r="D47" s="203">
        <f>'Anexo 2 - ER'!E19/'Anexo 2 - ER'!E4</f>
        <v>0.25410977119840861</v>
      </c>
      <c r="E47" s="202">
        <f>'Anexo 2 - ER'!F19/'Anexo 2 - ER'!F4</f>
        <v>9.639539328514328E-2</v>
      </c>
      <c r="F47" s="203">
        <f>'Anexo 2 - ER'!G19/'Anexo 2 - ER'!G4</f>
        <v>0.11857158483578693</v>
      </c>
      <c r="G47" s="203">
        <f>'Anexo 2 - ER'!H19/'Anexo 2 - ER'!H4</f>
        <v>0.16784708494391448</v>
      </c>
      <c r="H47" s="202">
        <f>'Anexo 2 - ER'!I19/'Anexo 2 - ER'!I4</f>
        <v>6.4942002403732602E-2</v>
      </c>
      <c r="I47" s="203">
        <f>'Anexo 2 - ER'!J19/'Anexo 2 - ER'!J4</f>
        <v>0.16957735991437006</v>
      </c>
      <c r="J47" s="205">
        <f t="shared" si="0"/>
        <v>0.12346668507658946</v>
      </c>
      <c r="K47" s="21"/>
      <c r="L47" s="21"/>
      <c r="M47" s="21"/>
      <c r="N47" s="21"/>
      <c r="O47" s="21"/>
      <c r="P47" s="21"/>
      <c r="Q47" s="21"/>
      <c r="R47" s="21"/>
      <c r="S47" s="21"/>
      <c r="T47" s="21"/>
      <c r="AH47" s="101">
        <v>0.41</v>
      </c>
      <c r="AI47" s="78" t="s">
        <v>308</v>
      </c>
    </row>
    <row r="48" spans="1:35" customFormat="1" ht="30" customHeight="1" thickBot="1">
      <c r="A48" s="186" t="s">
        <v>4</v>
      </c>
      <c r="B48" s="325"/>
      <c r="C48" s="204"/>
      <c r="D48" s="204"/>
      <c r="E48" s="204"/>
      <c r="F48" s="204"/>
      <c r="G48" s="204"/>
      <c r="H48" s="204"/>
      <c r="I48" s="204"/>
      <c r="J48" s="205"/>
      <c r="K48" s="21"/>
      <c r="L48" s="21"/>
      <c r="M48" s="21"/>
      <c r="N48" s="21"/>
      <c r="O48" s="21"/>
      <c r="P48" s="21"/>
      <c r="Q48" s="21"/>
      <c r="R48" s="21"/>
      <c r="S48" s="21"/>
      <c r="T48" s="21"/>
      <c r="AH48" s="102">
        <v>0.42</v>
      </c>
      <c r="AI48" s="78" t="s">
        <v>308</v>
      </c>
    </row>
    <row r="49" spans="1:35" customFormat="1">
      <c r="A49" s="1560" t="s">
        <v>459</v>
      </c>
      <c r="B49" s="326" t="s">
        <v>59</v>
      </c>
      <c r="C49" s="222">
        <f>+'Anexo - ER Sector '!C9/'Anexo - ER Sector '!C13</f>
        <v>1.7333993984353737</v>
      </c>
      <c r="D49" s="223">
        <f>+'Anexo - ER Sector '!D9/'Anexo - ER Sector '!D13</f>
        <v>1.7573510683458327</v>
      </c>
      <c r="E49" s="222">
        <f>+'Anexo - ER Sector '!E9/'Anexo - ER Sector '!E13</f>
        <v>3.0122622882676922</v>
      </c>
      <c r="F49" s="223">
        <f>+'Anexo - ER Sector '!F9/'Anexo - ER Sector '!F13</f>
        <v>1.5830956682743278</v>
      </c>
      <c r="G49" s="223">
        <f>+'Anexo - ER Sector '!G9/'Anexo - ER Sector '!G13</f>
        <v>1.4860598038625834</v>
      </c>
      <c r="H49" s="222">
        <f>+'Anexo - ER Sector '!H9/'Anexo - ER Sector '!H13</f>
        <v>1.6442212360941122</v>
      </c>
      <c r="I49" s="223">
        <f>+'Anexo - ER Sector '!I9/'Anexo - ER Sector '!I13</f>
        <v>1.181560007040344</v>
      </c>
      <c r="J49" s="787">
        <f t="shared" si="0"/>
        <v>1.7814398007078118</v>
      </c>
      <c r="K49" s="21"/>
      <c r="L49" s="21"/>
      <c r="M49" s="21"/>
      <c r="N49" s="21"/>
      <c r="O49" s="21"/>
      <c r="P49" s="21"/>
      <c r="Q49" s="21"/>
      <c r="R49" s="21"/>
      <c r="S49" s="21"/>
      <c r="T49" s="21"/>
      <c r="AH49" s="101">
        <v>0.43</v>
      </c>
      <c r="AI49" s="78" t="s">
        <v>308</v>
      </c>
    </row>
    <row r="50" spans="1:35" s="16" customFormat="1" ht="30">
      <c r="A50" s="1561"/>
      <c r="B50" s="327" t="s">
        <v>498</v>
      </c>
      <c r="C50" s="218">
        <f>+'Anexo 2 - ER'!D14/'Anexo 2 - ER'!D19</f>
        <v>1.3694288710463109</v>
      </c>
      <c r="D50" s="219">
        <f>+'Anexo 2 - ER'!E14/'Anexo 2 - ER'!E19</f>
        <v>0.99830951921420064</v>
      </c>
      <c r="E50" s="218">
        <f>+'Anexo 2 - ER'!F14/'Anexo 2 - ER'!F19</f>
        <v>2.8639495010602261</v>
      </c>
      <c r="F50" s="219">
        <f>+'Anexo 2 - ER'!G14/'Anexo 2 - ER'!G19</f>
        <v>1.806930306001074</v>
      </c>
      <c r="G50" s="219">
        <f>+'Anexo 2 - ER'!H14/'Anexo 2 - ER'!H19</f>
        <v>1.4223029005901495</v>
      </c>
      <c r="H50" s="218">
        <f>+'Anexo 2 - ER'!I14/'Anexo 2 - ER'!I19</f>
        <v>2.8015592446559281</v>
      </c>
      <c r="I50" s="219">
        <f>+'Anexo 2 - ER'!J14/'Anexo 2 - ER'!J19</f>
        <v>0.76157009990031821</v>
      </c>
      <c r="J50" s="787">
        <f t="shared" si="0"/>
        <v>1.9312624104415392</v>
      </c>
      <c r="K50" s="21"/>
      <c r="L50" s="21"/>
      <c r="M50" s="21"/>
      <c r="N50" s="21"/>
      <c r="O50" s="21"/>
      <c r="P50" s="21"/>
      <c r="Q50" s="21"/>
      <c r="R50" s="21"/>
      <c r="S50" s="21"/>
      <c r="T50" s="21"/>
      <c r="AH50" s="102">
        <v>0.44</v>
      </c>
      <c r="AI50" s="78" t="s">
        <v>308</v>
      </c>
    </row>
    <row r="51" spans="1:35" customFormat="1">
      <c r="A51" s="1546" t="s">
        <v>5</v>
      </c>
      <c r="B51" s="328" t="s">
        <v>59</v>
      </c>
      <c r="C51" s="651">
        <f>+'Anexo - ER Sector '!C9+'Anexo - ER Sector '!C21</f>
        <v>271665</v>
      </c>
      <c r="D51" s="652">
        <f>+'Anexo - ER Sector '!D9+'Anexo - ER Sector '!D21</f>
        <v>274168</v>
      </c>
      <c r="E51" s="651">
        <f>+'Anexo - ER Sector '!E9+'Anexo - ER Sector '!E21</f>
        <v>342351</v>
      </c>
      <c r="F51" s="652">
        <f>+'Anexo - ER Sector '!F9+'Anexo - ER Sector '!F21</f>
        <v>236285</v>
      </c>
      <c r="G51" s="652">
        <f>+'Anexo - ER Sector '!G9+'Anexo - ER Sector '!G21</f>
        <v>274914</v>
      </c>
      <c r="H51" s="651">
        <f>+'Anexo - ER Sector '!H9+'Anexo - ER Sector '!H21</f>
        <v>270163</v>
      </c>
      <c r="I51" s="652">
        <f>+'Anexo - ER Sector '!I9+'Anexo - ER Sector '!I21</f>
        <v>275540</v>
      </c>
      <c r="J51" s="789">
        <f t="shared" si="0"/>
        <v>279850.59999999998</v>
      </c>
      <c r="K51" s="21"/>
      <c r="L51" s="21"/>
      <c r="M51" s="21"/>
      <c r="N51" s="21"/>
      <c r="O51" s="21"/>
      <c r="P51" s="21"/>
      <c r="Q51" s="21"/>
      <c r="R51" s="21"/>
      <c r="S51" s="21"/>
      <c r="T51" s="21"/>
      <c r="AH51" s="101">
        <v>0.45</v>
      </c>
      <c r="AI51" s="78" t="s">
        <v>308</v>
      </c>
    </row>
    <row r="52" spans="1:35" s="16" customFormat="1" ht="30">
      <c r="A52" s="1561"/>
      <c r="B52" s="327" t="s">
        <v>498</v>
      </c>
      <c r="C52" s="653">
        <f>+'Anexo 2 - ER'!D14+'Anexo 3 - FC'!D5+'Anexo 3 - FC'!D6+'Anexo 3 - FC'!D7</f>
        <v>21245.650000000005</v>
      </c>
      <c r="D52" s="654">
        <f>+'Anexo 2 - ER'!E14+'Anexo 3 - FC'!E5+'Anexo 3 - FC'!E6+'Anexo 3 - FC'!E7</f>
        <v>20705.576000000001</v>
      </c>
      <c r="E52" s="653">
        <f>+'Anexo 2 - ER'!F14+'Anexo 3 - FC'!F5+'Anexo 3 - FC'!F6+'Anexo 3 - FC'!F7</f>
        <v>24190.772999999997</v>
      </c>
      <c r="F52" s="654">
        <f>+'Anexo 2 - ER'!G14+'Anexo 3 - FC'!G5+'Anexo 3 - FC'!G6+'Anexo 3 - FC'!G7</f>
        <v>19945.321999999996</v>
      </c>
      <c r="G52" s="654">
        <f>+'Anexo 2 - ER'!H14+'Anexo 3 - FC'!H5+'Anexo 3 - FC'!H6+'Anexo 3 - FC'!H7</f>
        <v>22452.508999999998</v>
      </c>
      <c r="H52" s="653">
        <f>+'Anexo 2 - ER'!I14+'Anexo 3 - FC'!I5+'Anexo 3 - FC'!I6+'Anexo 3 - FC'!I7</f>
        <v>18560.900000000009</v>
      </c>
      <c r="I52" s="654">
        <f>+'Anexo 2 - ER'!J14+'Anexo 3 - FC'!J5+'Anexo 3 - FC'!J6+'Anexo 3 - FC'!J7</f>
        <v>13327.048000000003</v>
      </c>
      <c r="J52" s="789">
        <f t="shared" si="0"/>
        <v>19695.310399999998</v>
      </c>
      <c r="K52" s="21"/>
      <c r="L52" s="116"/>
      <c r="M52" s="116"/>
      <c r="N52" s="21"/>
      <c r="O52" s="21"/>
      <c r="P52" s="21"/>
      <c r="Q52" s="21"/>
      <c r="R52" s="21"/>
      <c r="S52" s="21"/>
      <c r="T52" s="21"/>
      <c r="AH52" s="102">
        <v>0.46</v>
      </c>
      <c r="AI52" s="78" t="s">
        <v>308</v>
      </c>
    </row>
    <row r="53" spans="1:35" customFormat="1">
      <c r="A53" s="1546" t="s">
        <v>460</v>
      </c>
      <c r="B53" s="328" t="s">
        <v>59</v>
      </c>
      <c r="C53" s="216">
        <f>+C51/'Anexo - ER Sector '!C13</f>
        <v>1.89587069849888</v>
      </c>
      <c r="D53" s="217">
        <f>+D51/'Anexo - ER Sector '!D13</f>
        <v>1.9397764256403001</v>
      </c>
      <c r="E53" s="216">
        <f>+E51/'Anexo - ER Sector '!E13</f>
        <v>3.234211595325593</v>
      </c>
      <c r="F53" s="217">
        <f>+F51/'Anexo - ER Sector '!F13</f>
        <v>1.7640844544653655</v>
      </c>
      <c r="G53" s="217">
        <f>+G51/'Anexo - ER Sector '!G13</f>
        <v>1.6540160038505505</v>
      </c>
      <c r="H53" s="216">
        <f>+H51/'Anexo - ER Sector '!H13</f>
        <v>1.8472557452598615</v>
      </c>
      <c r="I53" s="217">
        <f>+I51/'Anexo - ER Sector '!I13</f>
        <v>1.3107408059291112</v>
      </c>
      <c r="J53" s="787">
        <f t="shared" si="0"/>
        <v>1.9620617209660964</v>
      </c>
      <c r="K53" s="21"/>
      <c r="L53" s="21"/>
      <c r="M53" s="21"/>
      <c r="N53" s="21"/>
      <c r="O53" s="21"/>
      <c r="P53" s="21"/>
      <c r="Q53" s="21"/>
      <c r="R53" s="21"/>
      <c r="S53" s="21"/>
      <c r="T53" s="21"/>
      <c r="AH53" s="101">
        <v>0.47</v>
      </c>
      <c r="AI53" s="78" t="s">
        <v>308</v>
      </c>
    </row>
    <row r="54" spans="1:35" s="16" customFormat="1" ht="30.75" thickBot="1">
      <c r="A54" s="1547"/>
      <c r="B54" s="329" t="s">
        <v>498</v>
      </c>
      <c r="C54" s="220">
        <f>+C52/'Anexo 2 - ER'!D19</f>
        <v>1.4052038905330388</v>
      </c>
      <c r="D54" s="221">
        <f>+D52/'Anexo 2 - ER'!E19</f>
        <v>1.0199719785211354</v>
      </c>
      <c r="E54" s="220">
        <f>+E52/'Anexo 2 - ER'!F19</f>
        <v>2.9263165191034939</v>
      </c>
      <c r="F54" s="221">
        <f>+F52/'Anexo 2 - ER'!G19</f>
        <v>1.8455390631252995</v>
      </c>
      <c r="G54" s="221">
        <f>+G52/'Anexo 2 - ER'!H19</f>
        <v>1.4456758036689017</v>
      </c>
      <c r="H54" s="220">
        <f>+H52/'Anexo 2 - ER'!I19</f>
        <v>2.8665792525942377</v>
      </c>
      <c r="I54" s="221">
        <f>+I52/'Anexo 2 - ER'!J19</f>
        <v>0.78654004481851592</v>
      </c>
      <c r="J54" s="787">
        <f t="shared" si="0"/>
        <v>1.9741301366620896</v>
      </c>
      <c r="K54" s="21"/>
      <c r="L54" s="21"/>
      <c r="M54" s="21"/>
      <c r="N54" s="21"/>
      <c r="O54" s="21"/>
      <c r="P54" s="21"/>
      <c r="Q54" s="21"/>
      <c r="R54" s="21"/>
      <c r="S54" s="21"/>
      <c r="T54" s="21"/>
      <c r="AH54" s="102">
        <v>0.48</v>
      </c>
      <c r="AI54" s="78" t="s">
        <v>308</v>
      </c>
    </row>
    <row r="55" spans="1:35" customFormat="1" ht="15.75" thickBot="1">
      <c r="A55" s="186" t="s">
        <v>6</v>
      </c>
      <c r="B55" s="325"/>
      <c r="C55" s="377"/>
      <c r="D55" s="377"/>
      <c r="E55" s="377"/>
      <c r="F55" s="377"/>
      <c r="G55" s="377"/>
      <c r="H55" s="377"/>
      <c r="I55" s="377"/>
      <c r="J55" s="205"/>
      <c r="K55" s="21"/>
      <c r="L55" s="21"/>
      <c r="M55" s="21"/>
      <c r="N55" s="21"/>
      <c r="O55" s="21"/>
      <c r="P55" s="21"/>
      <c r="Q55" s="21"/>
      <c r="R55" s="21"/>
      <c r="S55" s="21"/>
      <c r="T55" s="21"/>
      <c r="AH55" s="101">
        <v>0.49</v>
      </c>
      <c r="AI55" s="78" t="s">
        <v>308</v>
      </c>
    </row>
    <row r="56" spans="1:35" customFormat="1">
      <c r="A56" s="1562" t="s">
        <v>487</v>
      </c>
      <c r="B56" s="335" t="s">
        <v>488</v>
      </c>
      <c r="C56" s="504">
        <f>+('Anexo - Balance Sector '!C6*365)/'Anexo - ER Sector '!C4</f>
        <v>94.235736400404477</v>
      </c>
      <c r="D56" s="505">
        <f>+('Anexo - Balance Sector '!D6*365)/'Anexo - ER Sector '!D4</f>
        <v>95.494468699542239</v>
      </c>
      <c r="E56" s="504">
        <f>+('Anexo - Balance Sector '!E6*365)/'Anexo - ER Sector '!E4</f>
        <v>89.864583387795676</v>
      </c>
      <c r="F56" s="506">
        <f>+('Anexo - Balance Sector '!F6*365)/'Anexo - ER Sector '!F4</f>
        <v>101.84789187240392</v>
      </c>
      <c r="G56" s="506">
        <f>+('Anexo - Balance Sector '!G6*365)/'Anexo - ER Sector '!G4</f>
        <v>100.19032410809344</v>
      </c>
      <c r="H56" s="504">
        <f>+('Anexo - Balance Sector '!H6*365)/'Anexo - ER Sector '!H4</f>
        <v>98.992618814831829</v>
      </c>
      <c r="I56" s="506">
        <f>+('Anexo - Balance Sector '!I6*365)/'Anexo - ER Sector '!I4</f>
        <v>106.46396968270803</v>
      </c>
      <c r="J56" s="787">
        <f t="shared" si="0"/>
        <v>99.471877573166566</v>
      </c>
      <c r="K56" s="21"/>
      <c r="L56" s="21"/>
      <c r="M56" s="21"/>
      <c r="N56" s="21"/>
      <c r="O56" s="21"/>
      <c r="P56" s="21"/>
      <c r="Q56" s="21"/>
      <c r="R56" s="21"/>
      <c r="S56" s="21"/>
      <c r="T56" s="21"/>
      <c r="AH56" s="102">
        <v>0.5</v>
      </c>
      <c r="AI56" s="78" t="s">
        <v>308</v>
      </c>
    </row>
    <row r="57" spans="1:35" s="64" customFormat="1" ht="30">
      <c r="A57" s="1563"/>
      <c r="B57" s="336" t="s">
        <v>423</v>
      </c>
      <c r="C57" s="507">
        <f t="shared" ref="C57:I57" si="1">365/C56</f>
        <v>3.8732652170205077</v>
      </c>
      <c r="D57" s="508">
        <f t="shared" si="1"/>
        <v>3.8222109088685854</v>
      </c>
      <c r="E57" s="507">
        <f t="shared" si="1"/>
        <v>4.0616668573970145</v>
      </c>
      <c r="F57" s="509">
        <f t="shared" si="1"/>
        <v>3.5837757001124357</v>
      </c>
      <c r="G57" s="509">
        <f t="shared" si="1"/>
        <v>3.6430663664308387</v>
      </c>
      <c r="H57" s="507">
        <f t="shared" si="1"/>
        <v>3.6871435908038923</v>
      </c>
      <c r="I57" s="509">
        <f t="shared" si="1"/>
        <v>3.4283899152718109</v>
      </c>
      <c r="J57" s="787">
        <f t="shared" si="0"/>
        <v>3.6808084860031984</v>
      </c>
      <c r="K57" s="703"/>
      <c r="L57" s="21"/>
      <c r="M57" s="21"/>
      <c r="N57" s="21"/>
      <c r="O57" s="21"/>
      <c r="P57" s="21"/>
      <c r="Q57" s="21"/>
      <c r="R57" s="21"/>
      <c r="S57" s="21"/>
      <c r="T57" s="21"/>
      <c r="AH57" s="101">
        <v>0.51</v>
      </c>
      <c r="AI57" s="78" t="s">
        <v>308</v>
      </c>
    </row>
    <row r="58" spans="1:35" s="64" customFormat="1" ht="30">
      <c r="A58" s="1563"/>
      <c r="B58" s="337" t="s">
        <v>498</v>
      </c>
      <c r="C58" s="510">
        <f>+('Anexo 1 - Balance'!D10*365)/'Anexo 2 - ER'!D4</f>
        <v>71.42938977071347</v>
      </c>
      <c r="D58" s="511">
        <f>+('Anexo 1 - Balance'!E10*365)/'Anexo 2 - ER'!E4</f>
        <v>73.680219660463152</v>
      </c>
      <c r="E58" s="510">
        <f>+('Anexo 1 - Balance'!F10*365)/'Anexo 2 - ER'!F4</f>
        <v>78.498541544658408</v>
      </c>
      <c r="F58" s="512">
        <f>+('Anexo 1 - Balance'!G10*365)/'Anexo 2 - ER'!G4</f>
        <v>68.898993931817657</v>
      </c>
      <c r="G58" s="512">
        <f>+('Anexo 1 - Balance'!H10*365)/'Anexo 2 - ER'!H4</f>
        <v>77.840342498811381</v>
      </c>
      <c r="H58" s="510">
        <f>+('Anexo 1 - Balance'!I10*365)/'Anexo 2 - ER'!I4</f>
        <v>81.648224777381927</v>
      </c>
      <c r="I58" s="512">
        <f>+('Anexo 1 - Balance'!J10*365)/'Anexo 2 - ER'!J4</f>
        <v>104.58834563421033</v>
      </c>
      <c r="J58" s="787">
        <f t="shared" si="0"/>
        <v>82.294889677375949</v>
      </c>
      <c r="K58" s="104"/>
      <c r="L58" s="21"/>
      <c r="M58" s="21"/>
      <c r="N58" s="21"/>
      <c r="O58" s="21"/>
      <c r="P58" s="21"/>
      <c r="Q58" s="21"/>
      <c r="R58" s="21"/>
      <c r="S58" s="21"/>
      <c r="T58" s="21"/>
      <c r="AH58" s="102">
        <v>0.52</v>
      </c>
      <c r="AI58" s="78" t="s">
        <v>308</v>
      </c>
    </row>
    <row r="59" spans="1:35" s="16" customFormat="1" ht="30">
      <c r="A59" s="1563"/>
      <c r="B59" s="337" t="s">
        <v>423</v>
      </c>
      <c r="C59" s="510">
        <f t="shared" ref="C59:I59" si="2">365/C58</f>
        <v>5.1099414564738792</v>
      </c>
      <c r="D59" s="511">
        <f t="shared" si="2"/>
        <v>4.9538397372050618</v>
      </c>
      <c r="E59" s="510">
        <f t="shared" si="2"/>
        <v>4.6497679169280968</v>
      </c>
      <c r="F59" s="512">
        <f t="shared" si="2"/>
        <v>5.2976100109851165</v>
      </c>
      <c r="G59" s="512">
        <f t="shared" si="2"/>
        <v>4.6890852260262541</v>
      </c>
      <c r="H59" s="510">
        <f t="shared" si="2"/>
        <v>4.4703972559745324</v>
      </c>
      <c r="I59" s="512">
        <f t="shared" si="2"/>
        <v>3.4898725836677764</v>
      </c>
      <c r="J59" s="787">
        <f t="shared" si="0"/>
        <v>4.5193465987163552</v>
      </c>
      <c r="L59" s="21"/>
      <c r="M59" s="21"/>
      <c r="N59" s="21"/>
      <c r="O59" s="21"/>
      <c r="P59" s="21"/>
      <c r="Q59" s="21"/>
      <c r="R59" s="21"/>
      <c r="S59" s="21"/>
      <c r="T59" s="21"/>
      <c r="AH59" s="101">
        <v>0.53</v>
      </c>
      <c r="AI59" s="78" t="s">
        <v>308</v>
      </c>
    </row>
    <row r="60" spans="1:35" customFormat="1">
      <c r="A60" s="1564" t="s">
        <v>489</v>
      </c>
      <c r="B60" s="338" t="s">
        <v>488</v>
      </c>
      <c r="C60" s="513">
        <f>+('Anexo - Balance Sector '!C10/'Anexo - ER Sector '!C5)*365</f>
        <v>3.6926166872250841</v>
      </c>
      <c r="D60" s="514">
        <f>+('Anexo - Balance Sector '!D10/'Anexo - ER Sector '!D5)*365</f>
        <v>4.1698726505063419</v>
      </c>
      <c r="E60" s="513">
        <f>+('Anexo - Balance Sector '!E10/'Anexo - ER Sector '!E5)*365</f>
        <v>3.2184139994007555</v>
      </c>
      <c r="F60" s="515">
        <f>+('Anexo - Balance Sector '!F10/'Anexo - ER Sector '!F5)*365</f>
        <v>4.2308753314536975</v>
      </c>
      <c r="G60" s="515">
        <f>+('Anexo - Balance Sector '!G10/'Anexo - ER Sector '!G5)*365</f>
        <v>3.6191449377423557</v>
      </c>
      <c r="H60" s="513">
        <f>+('Anexo - Balance Sector '!H10/'Anexo - ER Sector '!H5)*365</f>
        <v>3.3201536687959563</v>
      </c>
      <c r="I60" s="515">
        <f>+('Anexo - Balance Sector '!I10/'Anexo - ER Sector '!I5)*365</f>
        <v>3.2653274342956076</v>
      </c>
      <c r="J60" s="787">
        <f t="shared" si="0"/>
        <v>3.5307830743376747</v>
      </c>
      <c r="K60" s="21"/>
      <c r="L60" s="21"/>
      <c r="M60" s="21"/>
      <c r="N60" s="21"/>
      <c r="O60" s="21"/>
      <c r="P60" s="21"/>
      <c r="Q60" s="21"/>
      <c r="R60" s="21"/>
      <c r="S60" s="21"/>
      <c r="T60" s="21"/>
      <c r="AH60" s="102">
        <v>0.54</v>
      </c>
      <c r="AI60" s="78" t="s">
        <v>308</v>
      </c>
    </row>
    <row r="61" spans="1:35" s="64" customFormat="1" ht="30">
      <c r="A61" s="1549"/>
      <c r="B61" s="339" t="s">
        <v>423</v>
      </c>
      <c r="C61" s="507">
        <f t="shared" ref="C61:I61" si="3">365/C60</f>
        <v>98.845894636924541</v>
      </c>
      <c r="D61" s="508">
        <f t="shared" si="3"/>
        <v>87.532649217879239</v>
      </c>
      <c r="E61" s="507">
        <f t="shared" si="3"/>
        <v>113.40989694550181</v>
      </c>
      <c r="F61" s="516">
        <f t="shared" si="3"/>
        <v>86.270563749886875</v>
      </c>
      <c r="G61" s="516">
        <f t="shared" si="3"/>
        <v>100.85255116300736</v>
      </c>
      <c r="H61" s="507">
        <f t="shared" si="3"/>
        <v>109.93467062395523</v>
      </c>
      <c r="I61" s="516">
        <f t="shared" si="3"/>
        <v>111.78052043614957</v>
      </c>
      <c r="J61" s="787">
        <f t="shared" si="0"/>
        <v>104.44964058370017</v>
      </c>
      <c r="K61" s="21"/>
      <c r="L61" s="21"/>
      <c r="M61" s="21"/>
      <c r="N61" s="21"/>
      <c r="O61" s="21"/>
      <c r="P61" s="21"/>
      <c r="Q61" s="21"/>
      <c r="R61" s="21"/>
      <c r="S61" s="21"/>
      <c r="T61" s="21"/>
      <c r="AH61" s="101">
        <v>0.55000000000000004</v>
      </c>
      <c r="AI61" s="78" t="s">
        <v>308</v>
      </c>
    </row>
    <row r="62" spans="1:35" s="64" customFormat="1" ht="30">
      <c r="A62" s="1549"/>
      <c r="B62" s="340" t="s">
        <v>498</v>
      </c>
      <c r="C62" s="510">
        <f>+('Anexo 1 - Balance'!D48/'Anexo 2 - ER'!D6)*365</f>
        <v>0</v>
      </c>
      <c r="D62" s="511">
        <f>+('Anexo 1 - Balance'!E48/'Anexo 2 - ER'!E6)*365</f>
        <v>0</v>
      </c>
      <c r="E62" s="510">
        <f>+('Anexo 1 - Balance'!F48/'Anexo 2 - ER'!F6)*365</f>
        <v>0</v>
      </c>
      <c r="F62" s="517">
        <f>+('Anexo 1 - Balance'!G48/'Anexo 2 - ER'!G6)*365</f>
        <v>0</v>
      </c>
      <c r="G62" s="517">
        <f>+('Anexo 1 - Balance'!H48/'Anexo 2 - ER'!H6)*365</f>
        <v>0</v>
      </c>
      <c r="H62" s="510">
        <f>+('Anexo 1 - Balance'!I48/'Anexo 2 - ER'!I6)*365</f>
        <v>0</v>
      </c>
      <c r="I62" s="517">
        <f>+('Anexo 1 - Balance'!J48/'Anexo 2 - ER'!J6)*365</f>
        <v>0</v>
      </c>
      <c r="J62" s="787">
        <f t="shared" si="0"/>
        <v>0</v>
      </c>
      <c r="K62" s="21"/>
      <c r="L62" s="21"/>
      <c r="M62" s="21"/>
      <c r="N62" s="21"/>
      <c r="O62" s="21"/>
      <c r="P62" s="21"/>
      <c r="Q62" s="21"/>
      <c r="R62" s="21"/>
      <c r="S62" s="21"/>
      <c r="T62" s="21"/>
      <c r="AH62" s="102">
        <v>0.56000000000000005</v>
      </c>
      <c r="AI62" s="78" t="s">
        <v>308</v>
      </c>
    </row>
    <row r="63" spans="1:35" s="16" customFormat="1" ht="30">
      <c r="A63" s="1549"/>
      <c r="B63" s="341" t="s">
        <v>423</v>
      </c>
      <c r="C63" s="510">
        <f t="shared" ref="C63:I63" si="4">IFERROR(365/C62,0)</f>
        <v>0</v>
      </c>
      <c r="D63" s="511">
        <f t="shared" si="4"/>
        <v>0</v>
      </c>
      <c r="E63" s="510">
        <f t="shared" si="4"/>
        <v>0</v>
      </c>
      <c r="F63" s="510">
        <f t="shared" si="4"/>
        <v>0</v>
      </c>
      <c r="G63" s="510">
        <f t="shared" si="4"/>
        <v>0</v>
      </c>
      <c r="H63" s="510">
        <f t="shared" si="4"/>
        <v>0</v>
      </c>
      <c r="I63" s="510">
        <f t="shared" si="4"/>
        <v>0</v>
      </c>
      <c r="J63" s="787">
        <f t="shared" si="0"/>
        <v>0</v>
      </c>
      <c r="K63" s="104"/>
      <c r="L63" s="21"/>
      <c r="M63" s="21"/>
      <c r="N63" s="21"/>
      <c r="O63" s="21"/>
      <c r="P63" s="21"/>
      <c r="Q63" s="21"/>
      <c r="R63" s="21"/>
      <c r="S63" s="21"/>
      <c r="T63" s="21"/>
      <c r="AH63" s="101">
        <v>0.56999999999999995</v>
      </c>
      <c r="AI63" s="78" t="s">
        <v>308</v>
      </c>
    </row>
    <row r="64" spans="1:35" customFormat="1">
      <c r="A64" s="1548" t="s">
        <v>461</v>
      </c>
      <c r="B64" s="339" t="s">
        <v>59</v>
      </c>
      <c r="C64" s="507">
        <f t="shared" ref="C64:I64" si="5">+C60+C74</f>
        <v>97.92835308762956</v>
      </c>
      <c r="D64" s="508">
        <f t="shared" si="5"/>
        <v>99.664341350048602</v>
      </c>
      <c r="E64" s="507">
        <f t="shared" si="5"/>
        <v>93.082997387196428</v>
      </c>
      <c r="F64" s="516">
        <f t="shared" si="5"/>
        <v>106.07876720385762</v>
      </c>
      <c r="G64" s="516">
        <f t="shared" si="5"/>
        <v>103.80946904583581</v>
      </c>
      <c r="H64" s="507">
        <f t="shared" si="5"/>
        <v>102.31277248362778</v>
      </c>
      <c r="I64" s="516">
        <f t="shared" si="5"/>
        <v>109.72929711700363</v>
      </c>
      <c r="J64" s="787">
        <f t="shared" si="0"/>
        <v>103.00266064750426</v>
      </c>
      <c r="K64" s="21"/>
      <c r="L64" s="21"/>
      <c r="M64" s="21"/>
      <c r="N64" s="21"/>
      <c r="O64" s="21"/>
      <c r="P64" s="21"/>
      <c r="Q64" s="21"/>
      <c r="R64" s="21"/>
      <c r="S64" s="21"/>
      <c r="T64" s="21"/>
      <c r="AH64" s="102">
        <v>0.57999999999999996</v>
      </c>
      <c r="AI64" s="78" t="s">
        <v>308</v>
      </c>
    </row>
    <row r="65" spans="1:35" s="64" customFormat="1" ht="30">
      <c r="A65" s="1549"/>
      <c r="B65" s="340" t="s">
        <v>498</v>
      </c>
      <c r="C65" s="510">
        <f t="shared" ref="C65:H65" si="6">+C62+C75</f>
        <v>71.429389770713456</v>
      </c>
      <c r="D65" s="511">
        <f t="shared" si="6"/>
        <v>73.680219660463152</v>
      </c>
      <c r="E65" s="510">
        <f t="shared" si="6"/>
        <v>78.498541544658408</v>
      </c>
      <c r="F65" s="517">
        <f t="shared" si="6"/>
        <v>2.0787478742210137</v>
      </c>
      <c r="G65" s="517">
        <f t="shared" si="6"/>
        <v>77.840342498811381</v>
      </c>
      <c r="H65" s="510">
        <f t="shared" si="6"/>
        <v>81.648224777381927</v>
      </c>
      <c r="I65" s="517">
        <f>+I62+I75</f>
        <v>104.58834563421033</v>
      </c>
      <c r="J65" s="787">
        <f t="shared" si="0"/>
        <v>68.930840465856619</v>
      </c>
      <c r="K65" s="21"/>
      <c r="L65" s="21"/>
      <c r="M65" s="21"/>
      <c r="N65" s="21"/>
      <c r="O65" s="21"/>
      <c r="P65" s="21"/>
      <c r="Q65" s="21"/>
      <c r="R65" s="21"/>
      <c r="S65" s="21"/>
      <c r="T65" s="21"/>
      <c r="AH65" s="101">
        <v>0.59</v>
      </c>
      <c r="AI65" s="78" t="s">
        <v>308</v>
      </c>
    </row>
    <row r="66" spans="1:35" s="64" customFormat="1">
      <c r="A66" s="1546" t="s">
        <v>699</v>
      </c>
      <c r="B66" s="339" t="s">
        <v>59</v>
      </c>
      <c r="C66" s="507">
        <f>+C64-C76</f>
        <v>79.740594797001563</v>
      </c>
      <c r="D66" s="508">
        <f t="shared" ref="D66:G67" si="7">+D64-D76</f>
        <v>82.517204474370232</v>
      </c>
      <c r="E66" s="507">
        <f t="shared" si="7"/>
        <v>81.116061033190249</v>
      </c>
      <c r="F66" s="516">
        <f t="shared" si="7"/>
        <v>100.77470090053075</v>
      </c>
      <c r="G66" s="516">
        <f t="shared" si="7"/>
        <v>98.972185783273886</v>
      </c>
      <c r="H66" s="507">
        <f>+H64-H76</f>
        <v>85.675872422650571</v>
      </c>
      <c r="I66" s="516">
        <f>+I64-I76</f>
        <v>103.72800519499472</v>
      </c>
      <c r="J66" s="787">
        <f t="shared" si="0"/>
        <v>94.053365066928038</v>
      </c>
      <c r="K66" s="21"/>
      <c r="L66" s="21"/>
      <c r="M66" s="21"/>
      <c r="N66" s="21"/>
      <c r="O66" s="21"/>
      <c r="P66" s="21"/>
      <c r="Q66" s="21"/>
      <c r="R66" s="21"/>
      <c r="S66" s="21"/>
      <c r="AH66" s="101"/>
      <c r="AI66" s="78"/>
    </row>
    <row r="67" spans="1:35" s="64" customFormat="1" ht="30">
      <c r="A67" s="1561"/>
      <c r="B67" s="340" t="s">
        <v>498</v>
      </c>
      <c r="C67" s="510">
        <f>+C65-C77</f>
        <v>56.61865194015261</v>
      </c>
      <c r="D67" s="511">
        <f t="shared" si="7"/>
        <v>58.588144979533688</v>
      </c>
      <c r="E67" s="510">
        <f>+E65-E77</f>
        <v>64.510960248710376</v>
      </c>
      <c r="F67" s="517">
        <f t="shared" si="7"/>
        <v>-770.71577054953502</v>
      </c>
      <c r="G67" s="517">
        <f>+G65-G77</f>
        <v>57.140909021009577</v>
      </c>
      <c r="H67" s="510">
        <f>+H65-H77</f>
        <v>42.518746420307203</v>
      </c>
      <c r="I67" s="517">
        <f>+I65-I77</f>
        <v>74.694891783743103</v>
      </c>
      <c r="J67" s="787">
        <f t="shared" si="0"/>
        <v>-106.37005261515296</v>
      </c>
      <c r="K67" s="21"/>
      <c r="L67" s="21"/>
      <c r="M67" s="21"/>
      <c r="N67" s="21"/>
      <c r="O67" s="21"/>
      <c r="P67" s="21"/>
      <c r="Q67" s="21"/>
      <c r="R67" s="21"/>
      <c r="S67" s="21"/>
      <c r="AH67" s="101"/>
      <c r="AI67" s="78"/>
    </row>
    <row r="68" spans="1:35" customFormat="1">
      <c r="A68" s="1548" t="s">
        <v>462</v>
      </c>
      <c r="B68" s="339" t="s">
        <v>59</v>
      </c>
      <c r="C68" s="507">
        <f>+'Anexo - ER Sector '!C4/'Anexo - Balance Sector '!C59</f>
        <v>3.25378399446529</v>
      </c>
      <c r="D68" s="508">
        <f>+'Anexo - ER Sector '!D4/'Anexo - Balance Sector '!D59</f>
        <v>3.0341630733045863</v>
      </c>
      <c r="E68" s="507">
        <f>+'Anexo - ER Sector '!E4/'Anexo - Balance Sector '!E59</f>
        <v>3.4356582370569515</v>
      </c>
      <c r="F68" s="516">
        <f>+'Anexo - ER Sector '!F4/'Anexo - Balance Sector '!F59</f>
        <v>3.2146696915148079</v>
      </c>
      <c r="G68" s="516">
        <f>+'Anexo - ER Sector '!G4/'Anexo - Balance Sector '!G59</f>
        <v>3.3847177348588695</v>
      </c>
      <c r="H68" s="507">
        <f>+'Anexo - ER Sector '!H4/'Anexo - Balance Sector '!H59</f>
        <v>3.0527968810722417</v>
      </c>
      <c r="I68" s="516">
        <f>+'Anexo - ER Sector '!I4/'Anexo - Balance Sector '!I59</f>
        <v>3.2095408544403004</v>
      </c>
      <c r="J68" s="787">
        <f t="shared" si="0"/>
        <v>3.2594766797886336</v>
      </c>
      <c r="K68" s="21"/>
      <c r="L68" s="21"/>
      <c r="M68" s="21"/>
      <c r="N68" s="21"/>
      <c r="O68" s="21"/>
      <c r="P68" s="21"/>
      <c r="Q68" s="21"/>
      <c r="R68" s="21"/>
      <c r="S68" s="21"/>
      <c r="T68" s="21"/>
      <c r="AH68" s="102">
        <v>0.6</v>
      </c>
      <c r="AI68" s="78" t="s">
        <v>308</v>
      </c>
    </row>
    <row r="69" spans="1:35" s="16" customFormat="1" ht="30">
      <c r="A69" s="1549"/>
      <c r="B69" s="340" t="s">
        <v>498</v>
      </c>
      <c r="C69" s="510">
        <f>+'Anexo 2 - ER'!D4/'Anexo 1 - Balance'!D229</f>
        <v>1.033324164243985</v>
      </c>
      <c r="D69" s="511">
        <f>+'Anexo 2 - ER'!E4/'Anexo 1 - Balance'!E229</f>
        <v>1.0538940547438738</v>
      </c>
      <c r="E69" s="510">
        <f>+'Anexo 2 - ER'!F4/'Anexo 1 - Balance'!F229</f>
        <v>1.3172737448325536</v>
      </c>
      <c r="F69" s="517">
        <f>+'Anexo 2 - ER'!G4/'Anexo 1 - Balance'!G229</f>
        <v>1.3042381356367792</v>
      </c>
      <c r="G69" s="517">
        <f>+'Anexo 2 - ER'!H4/'Anexo 1 - Balance'!H229</f>
        <v>2.9604039545174756</v>
      </c>
      <c r="H69" s="510">
        <f>+'Anexo 2 - ER'!I4/'Anexo 1 - Balance'!I229</f>
        <v>3.3169190591836055</v>
      </c>
      <c r="I69" s="517">
        <f>+'Anexo 2 - ER'!J4/'Anexo 1 - Balance'!J229</f>
        <v>3.1991016113499291</v>
      </c>
      <c r="J69" s="787">
        <f t="shared" si="0"/>
        <v>2.4195873011040687</v>
      </c>
      <c r="K69" s="21"/>
      <c r="L69" s="21"/>
      <c r="M69" s="21"/>
      <c r="N69" s="21"/>
      <c r="O69" s="21"/>
      <c r="P69" s="21"/>
      <c r="Q69" s="21"/>
      <c r="R69" s="21"/>
      <c r="S69" s="21"/>
      <c r="T69" s="21"/>
      <c r="AH69" s="101">
        <v>0.61</v>
      </c>
      <c r="AI69" s="78" t="s">
        <v>308</v>
      </c>
    </row>
    <row r="70" spans="1:35" customFormat="1">
      <c r="A70" s="1548" t="s">
        <v>463</v>
      </c>
      <c r="B70" s="339" t="s">
        <v>59</v>
      </c>
      <c r="C70" s="507">
        <f>+'Anexo - ER Sector '!C4/'Anexo - Balance Sector '!C26</f>
        <v>1.4149970285510209</v>
      </c>
      <c r="D70" s="508">
        <f>+'Anexo - ER Sector '!D4/'Anexo - Balance Sector '!D26</f>
        <v>1.3545798687864727</v>
      </c>
      <c r="E70" s="507">
        <f>+'Anexo - ER Sector '!E4/'Anexo - Balance Sector '!E26</f>
        <v>1.4236023642722635</v>
      </c>
      <c r="F70" s="516">
        <f>+'Anexo - ER Sector '!F4/'Anexo - Balance Sector '!F26</f>
        <v>1.3345136348886084</v>
      </c>
      <c r="G70" s="516">
        <f>+'Anexo - ER Sector '!G4/'Anexo - Balance Sector '!G26</f>
        <v>1.4014400607446598</v>
      </c>
      <c r="H70" s="507">
        <f>+'Anexo - ER Sector '!H4/'Anexo - Balance Sector '!H26</f>
        <v>1.2847797358683832</v>
      </c>
      <c r="I70" s="516">
        <f>+'Anexo - ER Sector '!I4/'Anexo - Balance Sector '!I26</f>
        <v>1.2713117673958958</v>
      </c>
      <c r="J70" s="787">
        <f t="shared" si="0"/>
        <v>1.3431295126339622</v>
      </c>
      <c r="K70" s="21"/>
      <c r="L70" s="21"/>
      <c r="M70" s="21"/>
      <c r="N70" s="21"/>
      <c r="O70" s="21"/>
      <c r="P70" s="21"/>
      <c r="Q70" s="21"/>
      <c r="R70" s="21"/>
      <c r="S70" s="21"/>
      <c r="T70" s="21"/>
      <c r="AH70" s="102">
        <v>0.62</v>
      </c>
      <c r="AI70" s="78" t="s">
        <v>308</v>
      </c>
    </row>
    <row r="71" spans="1:35" s="16" customFormat="1" ht="30">
      <c r="A71" s="1549"/>
      <c r="B71" s="340" t="s">
        <v>498</v>
      </c>
      <c r="C71" s="510">
        <f>+'Anexo 2 - ER'!D4/'Anexo 1 - Balance'!D106</f>
        <v>0.79562062779134246</v>
      </c>
      <c r="D71" s="511">
        <f>+'Anexo 2 - ER'!E4/'Anexo 1 - Balance'!E106</f>
        <v>0.8223185831859211</v>
      </c>
      <c r="E71" s="510">
        <f>+'Anexo 2 - ER'!F4/'Anexo 1 - Balance'!F106</f>
        <v>0.84219981748992401</v>
      </c>
      <c r="F71" s="517">
        <f>+'Anexo 2 - ER'!G4/'Anexo 1 - Balance'!G106</f>
        <v>0.85638775783161347</v>
      </c>
      <c r="G71" s="517">
        <f>+'Anexo 2 - ER'!H4/'Anexo 1 - Balance'!H106</f>
        <v>1.6399622457444092</v>
      </c>
      <c r="H71" s="510">
        <f>+'Anexo 2 - ER'!I4/'Anexo 1 - Balance'!I106</f>
        <v>1.3360035107466368</v>
      </c>
      <c r="I71" s="517">
        <f>+'Anexo 2 - ER'!J4/'Anexo 1 - Balance'!J106</f>
        <v>1.0319234487707283</v>
      </c>
      <c r="J71" s="787">
        <f t="shared" ref="J71:J94" si="8">+AVERAGE(E71:I71)</f>
        <v>1.1412953561166623</v>
      </c>
      <c r="K71" s="104"/>
      <c r="L71" s="21"/>
      <c r="M71" s="21"/>
      <c r="N71" s="21"/>
      <c r="O71" s="21"/>
      <c r="P71" s="21"/>
      <c r="Q71" s="21"/>
      <c r="R71" s="21"/>
      <c r="S71" s="21"/>
      <c r="T71" s="21"/>
      <c r="AH71" s="101">
        <v>0.63</v>
      </c>
      <c r="AI71" s="78" t="s">
        <v>308</v>
      </c>
    </row>
    <row r="72" spans="1:35" customFormat="1">
      <c r="A72" s="1548" t="s">
        <v>490</v>
      </c>
      <c r="B72" s="339" t="s">
        <v>59</v>
      </c>
      <c r="C72" s="507">
        <f>+'Anexo - ER Sector '!C4/'Anexo - Balance Sector '!C69</f>
        <v>3.870333955726954</v>
      </c>
      <c r="D72" s="508">
        <f>+'Anexo - ER Sector '!D4/'Anexo - Balance Sector '!D69</f>
        <v>4.2591091260924987</v>
      </c>
      <c r="E72" s="507">
        <f>+'Anexo - ER Sector '!E4/'Anexo - Balance Sector '!E69</f>
        <v>4.3341289684188267</v>
      </c>
      <c r="F72" s="516">
        <f>+'Anexo - ER Sector '!F4/'Anexo - Balance Sector '!F69</f>
        <v>4.4427751732097684</v>
      </c>
      <c r="G72" s="516">
        <f>+'Anexo - ER Sector '!G4/'Anexo - Balance Sector '!G69</f>
        <v>4.4753500429854931</v>
      </c>
      <c r="H72" s="507">
        <f>+'Anexo - ER Sector '!H4/'Anexo - Balance Sector '!H69</f>
        <v>3.9122749440262692</v>
      </c>
      <c r="I72" s="516">
        <f>+'Anexo - ER Sector '!I4/'Anexo - Balance Sector '!I69</f>
        <v>3.956171458431629</v>
      </c>
      <c r="J72" s="787">
        <f t="shared" si="8"/>
        <v>4.2241401174143975</v>
      </c>
      <c r="K72" s="21"/>
      <c r="L72" s="21"/>
      <c r="M72" s="21"/>
      <c r="N72" s="21"/>
      <c r="O72" s="21"/>
      <c r="P72" s="21"/>
      <c r="Q72" s="21"/>
      <c r="R72" s="21"/>
      <c r="S72" s="21"/>
      <c r="T72" s="21"/>
      <c r="AH72" s="102">
        <v>0.64</v>
      </c>
      <c r="AI72" s="78" t="s">
        <v>308</v>
      </c>
    </row>
    <row r="73" spans="1:35" s="16" customFormat="1" ht="30">
      <c r="A73" s="1549"/>
      <c r="B73" s="340" t="s">
        <v>498</v>
      </c>
      <c r="C73" s="510">
        <f>+'Anexo 2 - ER'!D4/'Anexo 1 - Balance'!D248</f>
        <v>1.1653774967810866</v>
      </c>
      <c r="D73" s="511">
        <f>+'Anexo 2 - ER'!E4/'Anexo 1 - Balance'!E248</f>
        <v>4.0635457537484161</v>
      </c>
      <c r="E73" s="510">
        <f>+'Anexo 2 - ER'!F4/'Anexo 1 - Balance'!F248</f>
        <v>8.9781471669490731</v>
      </c>
      <c r="F73" s="517">
        <f>+'Anexo 2 - ER'!G4/'Anexo 1 - Balance'!G248</f>
        <v>9.0858270886029047</v>
      </c>
      <c r="G73" s="517">
        <f>+'Anexo 2 - ER'!H4/'Anexo 1 - Balance'!H248</f>
        <v>3.5509781553961606</v>
      </c>
      <c r="H73" s="510">
        <f>+'Anexo 2 - ER'!I4/'Anexo 1 - Balance'!I248</f>
        <v>4.6572902653213752</v>
      </c>
      <c r="I73" s="517">
        <f>+'Anexo 2 - ER'!J4/'Anexo 1 - Balance'!J248</f>
        <v>4.2384380503999814</v>
      </c>
      <c r="J73" s="787">
        <f t="shared" si="8"/>
        <v>6.1021361453338985</v>
      </c>
      <c r="K73" s="319"/>
      <c r="L73" s="21"/>
      <c r="M73" s="21"/>
      <c r="N73" s="21"/>
      <c r="O73" s="21"/>
      <c r="P73" s="21"/>
      <c r="Q73" s="21"/>
      <c r="R73" s="21"/>
      <c r="S73" s="21"/>
      <c r="T73" s="21"/>
      <c r="AH73" s="101">
        <v>0.65</v>
      </c>
      <c r="AI73" s="78" t="s">
        <v>308</v>
      </c>
    </row>
    <row r="74" spans="1:35" customFormat="1">
      <c r="A74" s="1548" t="s">
        <v>464</v>
      </c>
      <c r="B74" s="339" t="s">
        <v>59</v>
      </c>
      <c r="C74" s="507">
        <f>+('Anexo - Balance Sector '!C6/'Anexo - ER Sector '!C4)*365</f>
        <v>94.235736400404477</v>
      </c>
      <c r="D74" s="508">
        <f>+('Anexo - Balance Sector '!D6/'Anexo - ER Sector '!D4)*365</f>
        <v>95.494468699542253</v>
      </c>
      <c r="E74" s="507">
        <f>+('Anexo - Balance Sector '!E6/'Anexo - ER Sector '!E4)*365</f>
        <v>89.864583387795676</v>
      </c>
      <c r="F74" s="516">
        <f>+('Anexo - Balance Sector '!F6/'Anexo - ER Sector '!F4)*365</f>
        <v>101.84789187240392</v>
      </c>
      <c r="G74" s="516">
        <f>+('Anexo - Balance Sector '!G6/'Anexo - ER Sector '!G4)*365</f>
        <v>100.19032410809345</v>
      </c>
      <c r="H74" s="507">
        <f>+('Anexo - Balance Sector '!H6/'Anexo - ER Sector '!H4)*365</f>
        <v>98.992618814831829</v>
      </c>
      <c r="I74" s="516">
        <f>+('Anexo - Balance Sector '!I6/'Anexo - ER Sector '!I4)*365</f>
        <v>106.46396968270801</v>
      </c>
      <c r="J74" s="787">
        <f t="shared" si="8"/>
        <v>99.471877573166566</v>
      </c>
      <c r="K74" s="21"/>
      <c r="L74" s="21"/>
      <c r="M74" s="21"/>
      <c r="N74" s="21"/>
      <c r="O74" s="21"/>
      <c r="P74" s="21"/>
      <c r="Q74" s="21"/>
      <c r="R74" s="21"/>
      <c r="S74" s="21"/>
      <c r="T74" s="21"/>
      <c r="AH74" s="102">
        <v>0.66</v>
      </c>
      <c r="AI74" s="78" t="s">
        <v>308</v>
      </c>
    </row>
    <row r="75" spans="1:35" s="16" customFormat="1" ht="30">
      <c r="A75" s="1549"/>
      <c r="B75" s="340" t="s">
        <v>498</v>
      </c>
      <c r="C75" s="510">
        <f>+('Anexo 1 - Balance'!D10/'Anexo 2 - ER'!D4)*365</f>
        <v>71.429389770713456</v>
      </c>
      <c r="D75" s="511">
        <f>+('Anexo 1 - Balance'!E10/'Anexo 2 - ER'!E4)*365</f>
        <v>73.680219660463152</v>
      </c>
      <c r="E75" s="510">
        <f>+('Anexo 1 - Balance'!F10/'Anexo 2 - ER'!F4)*365</f>
        <v>78.498541544658408</v>
      </c>
      <c r="F75" s="516">
        <f>+('Anexo - Balance Sector '!F7/'Anexo - ER Sector '!F5)*365</f>
        <v>2.0787478742210137</v>
      </c>
      <c r="G75" s="517">
        <f>+('Anexo 1 - Balance'!H10/'Anexo 2 - ER'!H4)*365</f>
        <v>77.840342498811381</v>
      </c>
      <c r="H75" s="510">
        <f>+('Anexo 1 - Balance'!I10/'Anexo 2 - ER'!I4)*365</f>
        <v>81.648224777381927</v>
      </c>
      <c r="I75" s="510">
        <f>+('Anexo 1 - Balance'!J10/'Anexo 2 - ER'!J4)*365</f>
        <v>104.58834563421033</v>
      </c>
      <c r="J75" s="787">
        <f t="shared" si="8"/>
        <v>68.930840465856619</v>
      </c>
      <c r="K75" s="21"/>
      <c r="L75" s="21"/>
      <c r="M75" s="21"/>
      <c r="N75" s="21"/>
      <c r="O75" s="21"/>
      <c r="P75" s="21"/>
      <c r="Q75" s="21"/>
      <c r="R75" s="21"/>
      <c r="S75" s="21"/>
      <c r="T75" s="21"/>
      <c r="AH75" s="101">
        <v>0.67</v>
      </c>
      <c r="AI75" s="78" t="s">
        <v>308</v>
      </c>
    </row>
    <row r="76" spans="1:35" customFormat="1">
      <c r="A76" s="1548" t="s">
        <v>465</v>
      </c>
      <c r="B76" s="339" t="s">
        <v>59</v>
      </c>
      <c r="C76" s="507">
        <f>+('Anexo - Balance Sector '!C30/'Anexo - ER Sector '!C5)*365</f>
        <v>18.187758290628</v>
      </c>
      <c r="D76" s="508">
        <f>+('Anexo - Balance Sector '!D30/'Anexo - ER Sector '!D5)*365</f>
        <v>17.147136875678374</v>
      </c>
      <c r="E76" s="507">
        <f>+('Anexo - Balance Sector '!E30/'Anexo - ER Sector '!E5)*365</f>
        <v>11.966936354006179</v>
      </c>
      <c r="F76" s="516">
        <f>+('Anexo - Balance Sector '!F8/'Anexo - ER Sector '!F6)*365</f>
        <v>5.3040663033268718</v>
      </c>
      <c r="G76" s="516">
        <f>+('Anexo - Balance Sector '!G8/'Anexo - ER Sector '!G6)*365</f>
        <v>4.8372832625619244</v>
      </c>
      <c r="H76" s="507">
        <f>+('Anexo - Balance Sector '!H30/'Anexo - ER Sector '!H5)*365</f>
        <v>16.636900060977215</v>
      </c>
      <c r="I76" s="516">
        <f>+('Anexo - Balance Sector '!I8/'Anexo - ER Sector '!I6)*365</f>
        <v>6.0012919220089058</v>
      </c>
      <c r="J76" s="787">
        <f t="shared" si="8"/>
        <v>8.9492955805762193</v>
      </c>
      <c r="K76" s="21"/>
      <c r="L76" s="21"/>
      <c r="M76" s="21"/>
      <c r="N76" s="21"/>
      <c r="O76" s="21"/>
      <c r="P76" s="21"/>
      <c r="Q76" s="21"/>
      <c r="R76" s="21"/>
      <c r="S76" s="21"/>
      <c r="T76" s="21"/>
      <c r="AH76" s="102">
        <v>0.68</v>
      </c>
      <c r="AI76" s="78" t="s">
        <v>308</v>
      </c>
    </row>
    <row r="77" spans="1:35" s="16" customFormat="1" ht="30.75" thickBot="1">
      <c r="A77" s="1550"/>
      <c r="B77" s="342" t="s">
        <v>498</v>
      </c>
      <c r="C77" s="518">
        <f>(+'Anexo 1 - Balance'!D108/'Anexo 2 - ER'!D6)*365</f>
        <v>14.810737830560845</v>
      </c>
      <c r="D77" s="519">
        <f>(+'Anexo 1 - Balance'!E108/'Anexo 2 - ER'!E6)*365</f>
        <v>15.092074680929464</v>
      </c>
      <c r="E77" s="518">
        <f>(+'Anexo 1 - Balance'!F108/'Anexo 2 - ER'!F6)*365</f>
        <v>13.987581295948026</v>
      </c>
      <c r="F77" s="516">
        <f>+('Anexo - Balance Sector '!F9/'Anexo - ER Sector '!F7)*365</f>
        <v>772.79451842375602</v>
      </c>
      <c r="G77" s="520">
        <f>(+'Anexo 1 - Balance'!H108/'Anexo 2 - ER'!H6)*365</f>
        <v>20.699433477801808</v>
      </c>
      <c r="H77" s="518">
        <f>(+'Anexo 1 - Balance'!I108/'Anexo 2 - ER'!I6)*365</f>
        <v>39.129478357074724</v>
      </c>
      <c r="I77" s="518">
        <f>(+'Anexo 1 - Balance'!J108/'Anexo 2 - ER'!J6)*365</f>
        <v>29.893453850467225</v>
      </c>
      <c r="J77" s="787">
        <f t="shared" si="8"/>
        <v>175.30089308100958</v>
      </c>
      <c r="K77" s="21"/>
      <c r="L77" s="21"/>
      <c r="M77" s="21"/>
      <c r="N77" s="21"/>
      <c r="O77" s="21"/>
      <c r="P77" s="21"/>
      <c r="Q77" s="21"/>
      <c r="R77" s="21"/>
      <c r="S77" s="21"/>
      <c r="T77" s="21"/>
      <c r="AH77" s="101">
        <v>0.69</v>
      </c>
      <c r="AI77" s="78" t="s">
        <v>308</v>
      </c>
    </row>
    <row r="78" spans="1:35" ht="30" customHeight="1" thickBot="1">
      <c r="A78" s="186" t="s">
        <v>7</v>
      </c>
      <c r="B78" s="325"/>
      <c r="C78" s="13"/>
      <c r="D78" s="13"/>
      <c r="E78" s="13"/>
      <c r="F78" s="13"/>
      <c r="G78" s="13"/>
      <c r="H78" s="13"/>
      <c r="I78" s="13"/>
      <c r="J78" s="205"/>
      <c r="AH78" s="102">
        <v>0.7</v>
      </c>
      <c r="AI78" s="78" t="s">
        <v>308</v>
      </c>
    </row>
    <row r="79" spans="1:35" customFormat="1">
      <c r="A79" s="1551" t="s">
        <v>466</v>
      </c>
      <c r="B79" s="326" t="s">
        <v>59</v>
      </c>
      <c r="C79" s="224">
        <f>+'Anexo - Balance Sector '!C14/'Anexo - Balance Sector '!C37</f>
        <v>1.3726002916434341</v>
      </c>
      <c r="D79" s="225">
        <f>+'Anexo - Balance Sector '!D14/'Anexo - Balance Sector '!D37</f>
        <v>1.398292082848092</v>
      </c>
      <c r="E79" s="224">
        <f>+'Anexo - Balance Sector '!E14/'Anexo - Balance Sector '!E37</f>
        <v>1.4058426430697368</v>
      </c>
      <c r="F79" s="226">
        <f>+'Anexo - Balance Sector '!F14/'Anexo - Balance Sector '!F37</f>
        <v>1.312235046797281</v>
      </c>
      <c r="G79" s="226">
        <f>+'Anexo - Balance Sector '!G14/'Anexo - Balance Sector '!G37</f>
        <v>1.3325250818002556</v>
      </c>
      <c r="H79" s="224">
        <f>+'Anexo - Balance Sector '!H14/'Anexo - Balance Sector '!H37</f>
        <v>1.5384228131607505</v>
      </c>
      <c r="I79" s="226">
        <f>+'Anexo - Balance Sector '!I14/'Anexo - Balance Sector '!I37</f>
        <v>1.4283259308509768</v>
      </c>
      <c r="J79" s="787">
        <f t="shared" si="8"/>
        <v>1.4034703031358</v>
      </c>
      <c r="K79" s="21"/>
      <c r="L79" s="21"/>
      <c r="M79" s="21"/>
      <c r="N79" s="21"/>
      <c r="O79" s="21"/>
      <c r="P79" s="21"/>
      <c r="Q79" s="21"/>
      <c r="R79" s="21"/>
      <c r="S79" s="21"/>
      <c r="T79" s="21"/>
      <c r="AH79" s="101">
        <v>0.71</v>
      </c>
      <c r="AI79" s="78" t="s">
        <v>308</v>
      </c>
    </row>
    <row r="80" spans="1:35" s="64" customFormat="1" ht="30">
      <c r="A80" s="1570"/>
      <c r="B80" s="327" t="s">
        <v>498</v>
      </c>
      <c r="C80" s="228">
        <f>+'Anexo 1 - Balance'!D56/'Anexo 1 - Balance'!D157</f>
        <v>3.9678390793825122</v>
      </c>
      <c r="D80" s="229">
        <f>+'Anexo 1 - Balance'!E56/'Anexo 1 - Balance'!E157</f>
        <v>1.9209569893334468</v>
      </c>
      <c r="E80" s="228">
        <f>+'Anexo 1 - Balance'!F56/'Anexo 1 - Balance'!F157</f>
        <v>1.2601017429214842</v>
      </c>
      <c r="F80" s="230">
        <f>+'Anexo 1 - Balance'!G56/'Anexo 1 - Balance'!G157</f>
        <v>1.2744921523679298</v>
      </c>
      <c r="G80" s="230">
        <f>+'Anexo 1 - Balance'!H56/'Anexo 1 - Balance'!H157</f>
        <v>2.0907520303210005</v>
      </c>
      <c r="H80" s="228">
        <f>+'Anexo 1 - Balance'!I56/'Anexo 1 - Balance'!I157</f>
        <v>1.4834033328817233</v>
      </c>
      <c r="I80" s="230">
        <f>+'Anexo 1 - Balance'!J56/'Anexo 1 - Balance'!J157</f>
        <v>1.3593975068099182</v>
      </c>
      <c r="J80" s="787">
        <f t="shared" si="8"/>
        <v>1.493629353060411</v>
      </c>
      <c r="K80" s="21"/>
      <c r="L80" s="21"/>
      <c r="M80" s="21"/>
      <c r="N80" s="21"/>
      <c r="O80" s="21"/>
      <c r="P80" s="21"/>
      <c r="Q80" s="21"/>
      <c r="R80" s="21"/>
      <c r="S80" s="21"/>
      <c r="T80" s="21"/>
      <c r="AH80" s="102">
        <v>0.72</v>
      </c>
      <c r="AI80" s="78" t="s">
        <v>308</v>
      </c>
    </row>
    <row r="81" spans="1:35" customFormat="1">
      <c r="A81" s="1548" t="s">
        <v>467</v>
      </c>
      <c r="B81" s="328" t="s">
        <v>59</v>
      </c>
      <c r="C81" s="14">
        <f>+('Anexo - Balance Sector '!C14-'Anexo - Balance Sector '!C10)/'Anexo - Balance Sector '!C37</f>
        <v>1.3512785457901442</v>
      </c>
      <c r="D81" s="15">
        <f>+('Anexo - Balance Sector '!D14-'Anexo - Balance Sector '!D10)/'Anexo - Balance Sector '!D37</f>
        <v>1.3724378261716343</v>
      </c>
      <c r="E81" s="14">
        <f>+('Anexo - Balance Sector '!E14-'Anexo - Balance Sector '!E10)/'Anexo - Balance Sector '!E37</f>
        <v>1.3848003758733831</v>
      </c>
      <c r="F81" s="15">
        <f>+('Anexo - Balance Sector '!F14-'Anexo - Balance Sector '!F10)/'Anexo - Balance Sector '!F37</f>
        <v>1.2865930295602888</v>
      </c>
      <c r="G81" s="15">
        <f>+('Anexo - Balance Sector '!G14-'Anexo - Balance Sector '!G10)/'Anexo - Balance Sector '!G37</f>
        <v>1.3092663618568838</v>
      </c>
      <c r="H81" s="14">
        <f>+('Anexo - Balance Sector '!H14-'Anexo - Balance Sector '!H10)/'Anexo - Balance Sector '!H37</f>
        <v>1.5165605736852115</v>
      </c>
      <c r="I81" s="15">
        <f>+('Anexo - Balance Sector '!I14-'Anexo - Balance Sector '!I10)/'Anexo - Balance Sector '!I37</f>
        <v>1.408760342152398</v>
      </c>
      <c r="J81" s="787">
        <f t="shared" si="8"/>
        <v>1.3811961366256331</v>
      </c>
      <c r="K81" s="21"/>
      <c r="L81" s="21"/>
      <c r="M81" s="21"/>
      <c r="N81" s="21"/>
      <c r="O81" s="21"/>
      <c r="P81" s="21"/>
      <c r="Q81" s="21"/>
      <c r="R81" s="21"/>
      <c r="S81" s="21"/>
      <c r="T81" s="21"/>
      <c r="AH81" s="101">
        <v>0.73</v>
      </c>
      <c r="AI81" s="78" t="s">
        <v>308</v>
      </c>
    </row>
    <row r="82" spans="1:35" s="64" customFormat="1" ht="30">
      <c r="A82" s="1549"/>
      <c r="B82" s="327" t="s">
        <v>498</v>
      </c>
      <c r="C82" s="229">
        <f>+('Anexo 1 - Balance'!D56-'Anexo 1 - Balance'!D48)/'Anexo 1 - Balance'!D157</f>
        <v>3.9678390793825122</v>
      </c>
      <c r="D82" s="229">
        <f>+('Anexo 1 - Balance'!E56-'Anexo 1 - Balance'!E48)/'Anexo 1 - Balance'!E157</f>
        <v>1.9209569893334468</v>
      </c>
      <c r="E82" s="228">
        <f>+('Anexo 1 - Balance'!F56-'Anexo 1 - Balance'!F48)/'Anexo 1 - Balance'!F157</f>
        <v>1.2601017429214842</v>
      </c>
      <c r="F82" s="229">
        <f>+('Anexo 1 - Balance'!G56-'Anexo 1 - Balance'!G48)/'Anexo 1 - Balance'!G157</f>
        <v>1.2744921523679298</v>
      </c>
      <c r="G82" s="229">
        <f>+('Anexo 1 - Balance'!H56-'Anexo 1 - Balance'!H48)/'Anexo 1 - Balance'!H157</f>
        <v>2.0907520303210005</v>
      </c>
      <c r="H82" s="228">
        <f>+('Anexo 1 - Balance'!I56-'Anexo 1 - Balance'!I48)/'Anexo 1 - Balance'!I157</f>
        <v>1.4834033328817233</v>
      </c>
      <c r="I82" s="229">
        <f>+('Anexo 1 - Balance'!J56-'Anexo 1 - Balance'!J48)/'Anexo 1 - Balance'!J157</f>
        <v>1.3593975068099182</v>
      </c>
      <c r="J82" s="787">
        <f t="shared" si="8"/>
        <v>1.493629353060411</v>
      </c>
      <c r="K82" s="320"/>
      <c r="L82" s="21"/>
      <c r="M82" s="21"/>
      <c r="N82" s="21"/>
      <c r="O82" s="21"/>
      <c r="P82" s="21"/>
      <c r="Q82" s="21"/>
      <c r="R82" s="21"/>
      <c r="S82" s="21"/>
      <c r="T82" s="21"/>
      <c r="AH82" s="102">
        <v>0.74</v>
      </c>
      <c r="AI82" s="78" t="s">
        <v>308</v>
      </c>
    </row>
    <row r="83" spans="1:35" customFormat="1">
      <c r="A83" s="1548" t="s">
        <v>82</v>
      </c>
      <c r="B83" s="328" t="s">
        <v>59</v>
      </c>
      <c r="C83" s="310">
        <f>+'Anexo - Balance Sector '!C69</f>
        <v>786212</v>
      </c>
      <c r="D83" s="311">
        <f>+'Anexo - Balance Sector '!D69</f>
        <v>763273</v>
      </c>
      <c r="E83" s="310">
        <f>+'Anexo - Balance Sector '!E69</f>
        <v>794334</v>
      </c>
      <c r="F83" s="311">
        <f>+'Anexo - Balance Sector '!F69</f>
        <v>880291</v>
      </c>
      <c r="G83" s="311">
        <f>+'Anexo - Balance Sector '!G69</f>
        <v>978237</v>
      </c>
      <c r="H83" s="310">
        <f>+'Anexo - Balance Sector '!H69</f>
        <v>1130441</v>
      </c>
      <c r="I83" s="311">
        <f>+'Anexo - Balance Sector '!I69</f>
        <v>1182654</v>
      </c>
      <c r="J83" s="789">
        <f t="shared" si="8"/>
        <v>993191.4</v>
      </c>
      <c r="K83" s="21"/>
      <c r="L83" s="21"/>
      <c r="M83" s="21"/>
      <c r="N83" s="21"/>
      <c r="O83" s="21"/>
      <c r="P83" s="21"/>
      <c r="Q83" s="21"/>
      <c r="R83" s="21"/>
      <c r="S83" s="21"/>
      <c r="T83" s="21"/>
      <c r="AH83" s="101">
        <v>0.75</v>
      </c>
      <c r="AI83" s="78" t="s">
        <v>308</v>
      </c>
    </row>
    <row r="84" spans="1:35" s="64" customFormat="1" ht="30">
      <c r="A84" s="1549"/>
      <c r="B84" s="327" t="s">
        <v>498</v>
      </c>
      <c r="C84" s="312">
        <f>+'Anexo 1 - Balance'!D248</f>
        <v>65233.191999999995</v>
      </c>
      <c r="D84" s="313">
        <f>+'Anexo 1 - Balance'!E248</f>
        <v>19659.503999999997</v>
      </c>
      <c r="E84" s="312">
        <f>+'Anexo 1 - Balance'!F248</f>
        <v>9551.8050000000003</v>
      </c>
      <c r="F84" s="313">
        <f>+'Anexo 1 - Balance'!G248</f>
        <v>10031.657999999996</v>
      </c>
      <c r="G84" s="313">
        <f>+'Anexo 1 - Balance'!H248</f>
        <v>26057.464999999997</v>
      </c>
      <c r="H84" s="312">
        <f>+'Anexo 1 - Balance'!I248</f>
        <v>21408</v>
      </c>
      <c r="I84" s="313">
        <f>+'Anexo 1 - Balance'!J248</f>
        <v>23574.333000000013</v>
      </c>
      <c r="J84" s="789">
        <f t="shared" si="8"/>
        <v>18124.6522</v>
      </c>
      <c r="K84" s="21"/>
      <c r="L84" s="21"/>
      <c r="M84" s="533"/>
      <c r="N84" s="21"/>
      <c r="O84" s="21"/>
      <c r="P84" s="21"/>
      <c r="Q84" s="21"/>
      <c r="R84" s="21"/>
      <c r="S84" s="21"/>
      <c r="T84" s="21"/>
      <c r="AH84" s="102">
        <v>0.76</v>
      </c>
      <c r="AI84" s="78" t="s">
        <v>308</v>
      </c>
    </row>
    <row r="85" spans="1:35" customFormat="1">
      <c r="A85" s="1548" t="s">
        <v>468</v>
      </c>
      <c r="B85" s="328" t="s">
        <v>59</v>
      </c>
      <c r="C85" s="14">
        <f>+'Anexo - Balance Sector '!C37/'Anexo - Balance Sector '!C10</f>
        <v>46.900474608448029</v>
      </c>
      <c r="D85" s="15">
        <f>+'Anexo - Balance Sector '!D37/'Anexo - Balance Sector '!D10</f>
        <v>38.678350436219688</v>
      </c>
      <c r="E85" s="14">
        <f>+'Anexo - Balance Sector '!E37/'Anexo - Balance Sector '!E10</f>
        <v>47.52339615634574</v>
      </c>
      <c r="F85" s="15">
        <f>+'Anexo - Balance Sector '!F37/'Anexo - Balance Sector '!F10</f>
        <v>38.998491840859046</v>
      </c>
      <c r="G85" s="15">
        <f>+'Anexo - Balance Sector '!G37/'Anexo - Balance Sector '!G10</f>
        <v>42.994627496040493</v>
      </c>
      <c r="H85" s="14">
        <f>+'Anexo - Balance Sector '!H37/'Anexo - Balance Sector '!H10</f>
        <v>45.740968171118617</v>
      </c>
      <c r="I85" s="15">
        <f>+'Anexo - Balance Sector '!I37/'Anexo - Balance Sector '!I10</f>
        <v>51.110141146564985</v>
      </c>
      <c r="J85" s="788">
        <f t="shared" si="8"/>
        <v>45.273524962185775</v>
      </c>
      <c r="K85" s="21"/>
      <c r="L85" s="21"/>
      <c r="M85" s="21"/>
      <c r="N85" s="21"/>
      <c r="O85" s="21"/>
      <c r="P85" s="21"/>
      <c r="Q85" s="21"/>
      <c r="R85" s="21"/>
      <c r="S85" s="21"/>
      <c r="T85" s="21"/>
      <c r="AH85" s="101">
        <v>0.77</v>
      </c>
      <c r="AI85" s="78" t="s">
        <v>308</v>
      </c>
    </row>
    <row r="86" spans="1:35" s="16" customFormat="1" ht="30.75" thickBot="1">
      <c r="A86" s="1550"/>
      <c r="B86" s="329" t="s">
        <v>498</v>
      </c>
      <c r="C86" s="231">
        <f>IFERROR(+'Anexo 1 - Balance'!D157/'Anexo 1 - Balance'!D48,0)</f>
        <v>0</v>
      </c>
      <c r="D86" s="232">
        <f>IFERROR(+'Anexo 1 - Balance'!E157/'Anexo 1 - Balance'!E48,0)</f>
        <v>0</v>
      </c>
      <c r="E86" s="231">
        <f>+IFERROR('Anexo 1 - Balance'!F157/'Anexo 1 - Balance'!F48,0)</f>
        <v>0</v>
      </c>
      <c r="F86" s="232">
        <f>+IFERROR('Anexo 1 - Balance'!G157/'Anexo 1 - Balance'!G48,0)</f>
        <v>0</v>
      </c>
      <c r="G86" s="232">
        <f>+IFERROR('Anexo 1 - Balance'!H157/'Anexo 1 - Balance'!H48,0)</f>
        <v>0</v>
      </c>
      <c r="H86" s="231">
        <f>+IFERROR('Anexo 1 - Balance'!I157/'Anexo 1 - Balance'!I48,0)</f>
        <v>0</v>
      </c>
      <c r="I86" s="232">
        <f>+IFERROR('Anexo 1 - Balance'!J157/'Anexo 1 - Balance'!J48,0)</f>
        <v>0</v>
      </c>
      <c r="J86" s="787">
        <f t="shared" si="8"/>
        <v>0</v>
      </c>
      <c r="K86" s="21"/>
      <c r="L86" s="21"/>
      <c r="M86" s="21"/>
      <c r="N86" s="21"/>
      <c r="O86" s="21"/>
      <c r="P86" s="21"/>
      <c r="Q86" s="21"/>
      <c r="R86" s="21"/>
      <c r="S86" s="21"/>
      <c r="T86" s="21"/>
      <c r="AH86" s="102">
        <v>0.78</v>
      </c>
      <c r="AI86" s="78" t="s">
        <v>308</v>
      </c>
    </row>
    <row r="87" spans="1:35" customFormat="1" ht="30" customHeight="1" thickBot="1">
      <c r="A87" s="186" t="s">
        <v>8</v>
      </c>
      <c r="B87" s="330"/>
      <c r="C87" s="13"/>
      <c r="D87" s="13"/>
      <c r="E87" s="13"/>
      <c r="F87" s="13"/>
      <c r="G87" s="13"/>
      <c r="H87" s="13"/>
      <c r="I87" s="13"/>
      <c r="J87" s="205"/>
      <c r="K87" s="21"/>
      <c r="L87" s="21"/>
      <c r="M87" s="21"/>
      <c r="N87" s="21"/>
      <c r="O87" s="21"/>
      <c r="P87" s="21"/>
      <c r="Q87" s="21"/>
      <c r="R87" s="21"/>
      <c r="S87" s="21"/>
      <c r="T87" s="21"/>
      <c r="AH87" s="101">
        <v>0.79</v>
      </c>
      <c r="AI87" s="78" t="s">
        <v>308</v>
      </c>
    </row>
    <row r="88" spans="1:35" customFormat="1" ht="30">
      <c r="A88" s="294" t="s">
        <v>469</v>
      </c>
      <c r="B88" s="343" t="s">
        <v>498</v>
      </c>
      <c r="C88" s="295">
        <f>+'Anexo 3 - FC'!D54/'Anexo 2 - ER'!D4</f>
        <v>6.0658820145839669E-2</v>
      </c>
      <c r="D88" s="296">
        <f>+'Anexo 3 - FC'!E54/'Anexo 2 - ER'!E4</f>
        <v>0.10525039188334506</v>
      </c>
      <c r="E88" s="295">
        <f>+'Anexo 3 - FC'!F54/'Anexo 2 - ER'!F4</f>
        <v>0.3489381005938943</v>
      </c>
      <c r="F88" s="297">
        <f>+'Anexo 3 - FC'!G54/'Anexo 2 - ER'!G4</f>
        <v>8.7377228446125554E-2</v>
      </c>
      <c r="G88" s="296">
        <f>+'Anexo 3 - FC'!H54/'Anexo 2 - ER'!H4</f>
        <v>0.54483171305528333</v>
      </c>
      <c r="H88" s="295">
        <f>+'Anexo 3 - FC'!I54/'Anexo 2 - ER'!I4</f>
        <v>0.24648138421137039</v>
      </c>
      <c r="I88" s="297">
        <f>+'Anexo 3 - FC'!J54/'Anexo 2 - ER'!J4</f>
        <v>8.7740450077488263E-2</v>
      </c>
      <c r="J88" s="205">
        <f t="shared" si="8"/>
        <v>0.2630737752768324</v>
      </c>
      <c r="K88" s="233"/>
      <c r="L88" s="233"/>
      <c r="M88" s="21"/>
      <c r="N88" s="21"/>
      <c r="O88" s="21"/>
      <c r="P88" s="21"/>
      <c r="Q88" s="21"/>
      <c r="R88" s="21"/>
      <c r="S88" s="21"/>
      <c r="T88" s="21"/>
      <c r="AH88" s="102">
        <v>0.8</v>
      </c>
      <c r="AI88" s="78" t="s">
        <v>308</v>
      </c>
    </row>
    <row r="89" spans="1:35" customFormat="1" ht="30">
      <c r="A89" s="298" t="s">
        <v>470</v>
      </c>
      <c r="B89" s="327" t="s">
        <v>498</v>
      </c>
      <c r="C89" s="212">
        <f>+'Anexo 3 - FC'!D54/'Anexo 1 - Balance'!D229</f>
        <v>6.2680224631225981E-2</v>
      </c>
      <c r="D89" s="213">
        <f>+'Anexo 3 - FC'!E54/'Anexo 1 - Balance'!E229</f>
        <v>0.11092276226532022</v>
      </c>
      <c r="E89" s="212">
        <f>+'Anexo 3 - FC'!F54/'Anexo 1 - Balance'!F229</f>
        <v>0.45964699848407742</v>
      </c>
      <c r="F89" s="213">
        <f>+'Anexo 3 - FC'!G54/'Anexo 1 - Balance'!G229</f>
        <v>0.11396071352568374</v>
      </c>
      <c r="G89" s="213">
        <f>+'Anexo 3 - FC'!H54/'Anexo 1 - Balance'!H229</f>
        <v>1.6129219578753915</v>
      </c>
      <c r="H89" s="212">
        <f>+'Anexo 3 - FC'!I54/'Anexo 1 - Balance'!I229</f>
        <v>0.8175588010246515</v>
      </c>
      <c r="I89" s="213">
        <f>+'Anexo 3 - FC'!J54/'Anexo 1 - Balance'!J229</f>
        <v>0.28069061522346067</v>
      </c>
      <c r="J89" s="205">
        <f t="shared" si="8"/>
        <v>0.65695581722665297</v>
      </c>
      <c r="K89" s="233"/>
      <c r="L89" s="233"/>
      <c r="M89" s="21"/>
      <c r="N89" s="21"/>
      <c r="O89" s="21"/>
      <c r="P89" s="21"/>
      <c r="Q89" s="21"/>
      <c r="R89" s="21"/>
      <c r="S89" s="21"/>
      <c r="T89" s="21"/>
      <c r="AH89" s="101">
        <v>0.81</v>
      </c>
      <c r="AI89" s="78" t="s">
        <v>308</v>
      </c>
    </row>
    <row r="90" spans="1:35" customFormat="1" ht="30.75" thickBot="1">
      <c r="A90" s="299" t="s">
        <v>471</v>
      </c>
      <c r="B90" s="329" t="s">
        <v>498</v>
      </c>
      <c r="C90" s="234">
        <f>+'Anexo 3 - FC'!D54/'Anexo 1 - Balance'!D106</f>
        <v>4.8261408565515092E-2</v>
      </c>
      <c r="D90" s="235">
        <f>+'Anexo 3 - FC'!E54/'Anexo 1 - Balance'!E106</f>
        <v>8.6549353133275289E-2</v>
      </c>
      <c r="E90" s="234">
        <f>+'Anexo 3 - FC'!F54/'Anexo 1 - Balance'!F106</f>
        <v>0.29387560463545853</v>
      </c>
      <c r="F90" s="235">
        <f>+'Anexo 3 - FC'!G54/'Anexo 1 - Balance'!G106</f>
        <v>7.482878875451815E-2</v>
      </c>
      <c r="G90" s="235">
        <f>+'Anexo 3 - FC'!H54/'Anexo 1 - Balance'!H106</f>
        <v>0.89350343969491608</v>
      </c>
      <c r="H90" s="234">
        <f>+'Anexo 3 - FC'!I54/'Anexo 1 - Balance'!I106</f>
        <v>0.32929999464008147</v>
      </c>
      <c r="I90" s="235">
        <f>+'Anexo 3 - FC'!J54/'Anexo 1 - Balance'!J106</f>
        <v>9.0541427840657593E-2</v>
      </c>
      <c r="J90" s="205">
        <f t="shared" si="8"/>
        <v>0.33640985111312632</v>
      </c>
      <c r="K90" s="233"/>
      <c r="L90" s="233"/>
      <c r="M90" s="21"/>
      <c r="N90" s="21"/>
      <c r="O90" s="21"/>
      <c r="P90" s="21"/>
      <c r="Q90" s="21"/>
      <c r="R90" s="21"/>
      <c r="S90" s="21"/>
      <c r="T90" s="21"/>
      <c r="AH90" s="102">
        <v>0.82</v>
      </c>
      <c r="AI90" s="78" t="s">
        <v>308</v>
      </c>
    </row>
    <row r="91" spans="1:35" s="44" customFormat="1">
      <c r="A91" s="187" t="s">
        <v>98</v>
      </c>
      <c r="B91" s="344"/>
      <c r="C91" s="139"/>
      <c r="D91" s="139"/>
      <c r="E91" s="139"/>
      <c r="F91" s="139"/>
      <c r="G91" s="139"/>
      <c r="H91" s="139"/>
      <c r="I91" s="139"/>
      <c r="J91" s="138"/>
      <c r="K91" s="21"/>
      <c r="L91" s="21"/>
      <c r="M91" s="21"/>
      <c r="N91" s="21"/>
      <c r="O91" s="21"/>
      <c r="P91" s="21"/>
      <c r="Q91" s="21"/>
      <c r="R91" s="21"/>
      <c r="S91" s="21"/>
      <c r="T91" s="21"/>
      <c r="AH91" s="101">
        <v>0.83</v>
      </c>
      <c r="AI91" s="78" t="s">
        <v>308</v>
      </c>
    </row>
    <row r="92" spans="1:35" customFormat="1" ht="30" customHeight="1" thickBot="1">
      <c r="A92" s="186" t="s">
        <v>9</v>
      </c>
      <c r="B92" s="325"/>
      <c r="C92" s="13"/>
      <c r="D92" s="13"/>
      <c r="E92" s="13"/>
      <c r="F92" s="13"/>
      <c r="G92" s="13"/>
      <c r="H92" s="13"/>
      <c r="I92" s="13"/>
      <c r="J92" s="136"/>
      <c r="K92" s="21"/>
      <c r="L92" s="21"/>
      <c r="M92" s="21"/>
      <c r="N92" s="21"/>
      <c r="O92" s="21"/>
      <c r="P92" s="21"/>
      <c r="Q92" s="21"/>
      <c r="R92" s="21"/>
      <c r="S92" s="21"/>
      <c r="T92" s="21"/>
      <c r="AH92" s="102">
        <v>0.84</v>
      </c>
      <c r="AI92" s="78" t="s">
        <v>308</v>
      </c>
    </row>
    <row r="93" spans="1:35" customFormat="1">
      <c r="A93" s="1568" t="s">
        <v>9</v>
      </c>
      <c r="B93" s="345" t="s">
        <v>59</v>
      </c>
      <c r="C93" s="236">
        <f t="shared" ref="C93:I93" si="9">+C120</f>
        <v>3.7336638798003823</v>
      </c>
      <c r="D93" s="236">
        <f t="shared" si="9"/>
        <v>4.0228413039614237</v>
      </c>
      <c r="E93" s="236">
        <f t="shared" si="9"/>
        <v>3.8908016655000397</v>
      </c>
      <c r="F93" s="237">
        <f t="shared" si="9"/>
        <v>4.0445186110748459</v>
      </c>
      <c r="G93" s="237">
        <f t="shared" si="9"/>
        <v>3.8177278307649667</v>
      </c>
      <c r="H93" s="237">
        <f t="shared" si="9"/>
        <v>3.9082905414204112</v>
      </c>
      <c r="I93" s="237">
        <f t="shared" si="9"/>
        <v>3.8745409198702454</v>
      </c>
      <c r="J93" s="227">
        <f t="shared" si="8"/>
        <v>3.907175913726102</v>
      </c>
      <c r="K93" s="21"/>
      <c r="L93" s="21"/>
      <c r="M93" s="21"/>
      <c r="N93" s="21"/>
      <c r="O93" s="21"/>
      <c r="P93" s="21"/>
      <c r="Q93" s="21"/>
      <c r="R93" s="21"/>
      <c r="S93" s="21"/>
      <c r="T93" s="21"/>
      <c r="AH93" s="101">
        <v>0.85</v>
      </c>
      <c r="AI93" s="78" t="s">
        <v>308</v>
      </c>
    </row>
    <row r="94" spans="1:35" s="16" customFormat="1" ht="30.75" thickBot="1">
      <c r="A94" s="1569"/>
      <c r="B94" s="346" t="s">
        <v>498</v>
      </c>
      <c r="C94" s="238">
        <f>+D108</f>
        <v>9.6192636792209001</v>
      </c>
      <c r="D94" s="238">
        <f>+E108</f>
        <v>9.5193045185748115</v>
      </c>
      <c r="E94" s="238">
        <f>+E108</f>
        <v>9.5193045185748115</v>
      </c>
      <c r="F94" s="238">
        <f>+F108</f>
        <v>5.9635212259026682</v>
      </c>
      <c r="G94" s="238">
        <f>+G108</f>
        <v>6.0199526623273227</v>
      </c>
      <c r="H94" s="238">
        <f>+H108</f>
        <v>8.5325054048335449</v>
      </c>
      <c r="I94" s="238">
        <f>+I108</f>
        <v>4.0596626407861489</v>
      </c>
      <c r="J94" s="227">
        <f t="shared" si="8"/>
        <v>6.8189892904849003</v>
      </c>
      <c r="K94" s="21"/>
      <c r="L94" s="21"/>
      <c r="M94" s="21"/>
      <c r="N94" s="21"/>
      <c r="O94" s="21"/>
      <c r="P94" s="21"/>
      <c r="Q94" s="21"/>
      <c r="R94" s="21"/>
      <c r="S94" s="21"/>
      <c r="T94" s="21"/>
      <c r="AH94" s="102">
        <v>0.86</v>
      </c>
      <c r="AI94" s="78" t="s">
        <v>308</v>
      </c>
    </row>
    <row r="95" spans="1:35" customFormat="1">
      <c r="A95" s="187"/>
      <c r="B95" s="347"/>
      <c r="C95" s="3"/>
      <c r="D95" s="3"/>
      <c r="E95" s="3"/>
      <c r="F95" s="3"/>
      <c r="G95" s="3"/>
      <c r="H95" s="3"/>
      <c r="I95" s="3"/>
      <c r="J95" s="136"/>
      <c r="K95" s="21"/>
      <c r="L95" s="21"/>
      <c r="M95" s="21"/>
      <c r="N95" s="21"/>
      <c r="O95" s="21"/>
      <c r="P95" s="21"/>
      <c r="Q95" s="21"/>
      <c r="R95" s="21"/>
      <c r="S95" s="21"/>
      <c r="T95" s="21"/>
      <c r="AH95" s="101">
        <v>0.87</v>
      </c>
      <c r="AI95" s="78" t="s">
        <v>308</v>
      </c>
    </row>
    <row r="96" spans="1:35" s="64" customFormat="1" ht="33" customHeight="1" thickBot="1">
      <c r="A96" s="1571" t="s">
        <v>507</v>
      </c>
      <c r="B96" s="1572"/>
      <c r="C96" s="1572"/>
      <c r="D96" s="1572"/>
      <c r="E96" s="1572"/>
      <c r="F96" s="1572"/>
      <c r="G96" s="1573"/>
      <c r="H96" s="1574"/>
      <c r="I96" s="1574"/>
      <c r="J96" s="1575"/>
      <c r="K96" s="21"/>
      <c r="L96" s="21"/>
      <c r="M96" s="21"/>
      <c r="N96" s="21"/>
      <c r="O96" s="21"/>
      <c r="P96" s="21"/>
      <c r="Q96" s="21"/>
      <c r="R96" s="21"/>
      <c r="S96" s="21"/>
      <c r="T96" s="21"/>
      <c r="AH96" s="102">
        <v>0.88</v>
      </c>
      <c r="AI96" s="78" t="s">
        <v>308</v>
      </c>
    </row>
    <row r="97" spans="1:35" ht="22.5" customHeight="1" thickTop="1">
      <c r="AH97" s="101">
        <v>0.89</v>
      </c>
      <c r="AI97" s="78" t="s">
        <v>308</v>
      </c>
    </row>
    <row r="98" spans="1:35" ht="22.5" customHeight="1">
      <c r="A98" s="308"/>
      <c r="B98" s="308"/>
      <c r="C98" s="308"/>
      <c r="D98" s="308"/>
      <c r="E98" s="308"/>
      <c r="F98" s="308"/>
      <c r="G98" s="308"/>
      <c r="H98" s="308"/>
      <c r="I98" s="308"/>
      <c r="J98" s="308"/>
      <c r="AH98" s="101"/>
      <c r="AI98" s="78"/>
    </row>
    <row r="99" spans="1:35">
      <c r="A99" s="188" t="s">
        <v>502</v>
      </c>
      <c r="J99" s="21"/>
      <c r="AH99" s="102">
        <v>0.9</v>
      </c>
      <c r="AI99" s="78" t="s">
        <v>308</v>
      </c>
    </row>
    <row r="100" spans="1:35" ht="15.75" thickBot="1">
      <c r="A100" s="242"/>
      <c r="J100" s="21"/>
      <c r="AH100" s="101">
        <v>0.91</v>
      </c>
      <c r="AI100" s="78" t="s">
        <v>308</v>
      </c>
    </row>
    <row r="101" spans="1:35" s="44" customFormat="1" ht="15.75">
      <c r="A101" s="357" t="s">
        <v>500</v>
      </c>
      <c r="B101" s="571" t="s">
        <v>705</v>
      </c>
      <c r="C101" s="178">
        <v>2007</v>
      </c>
      <c r="D101" s="178">
        <v>2008</v>
      </c>
      <c r="E101" s="178">
        <v>2009</v>
      </c>
      <c r="F101" s="178">
        <v>2010</v>
      </c>
      <c r="G101" s="575">
        <v>2011</v>
      </c>
      <c r="H101" s="309">
        <v>2012</v>
      </c>
      <c r="I101" s="178">
        <v>2013</v>
      </c>
      <c r="J101" s="575">
        <v>2014</v>
      </c>
      <c r="K101" s="105"/>
      <c r="L101" s="21"/>
      <c r="M101" s="21"/>
      <c r="N101" s="21"/>
      <c r="O101" s="21"/>
      <c r="P101" s="21"/>
      <c r="Q101" s="21"/>
      <c r="R101" s="21"/>
      <c r="S101" s="21"/>
      <c r="T101" s="21"/>
      <c r="AH101" s="102">
        <v>0.92</v>
      </c>
      <c r="AI101" s="78" t="s">
        <v>308</v>
      </c>
    </row>
    <row r="102" spans="1:35" s="44" customFormat="1" ht="15.75" customHeight="1">
      <c r="A102" s="359"/>
      <c r="B102" s="352"/>
      <c r="C102" s="272"/>
      <c r="D102" s="272"/>
      <c r="E102" s="272"/>
      <c r="F102" s="272"/>
      <c r="G102" s="576"/>
      <c r="H102" s="78"/>
      <c r="I102" s="272"/>
      <c r="J102" s="576"/>
      <c r="K102" s="106"/>
      <c r="L102" s="106"/>
      <c r="M102" s="106"/>
      <c r="N102" s="106"/>
      <c r="O102" s="106"/>
      <c r="P102" s="21"/>
      <c r="Q102" s="21"/>
      <c r="R102" s="21"/>
      <c r="S102" s="21"/>
      <c r="T102" s="21"/>
      <c r="AH102" s="101">
        <v>0.93</v>
      </c>
      <c r="AI102" s="78" t="s">
        <v>308</v>
      </c>
    </row>
    <row r="103" spans="1:35" s="44" customFormat="1" ht="15.75" customHeight="1">
      <c r="A103" s="190" t="s">
        <v>491</v>
      </c>
      <c r="B103" s="350">
        <v>6.56</v>
      </c>
      <c r="C103" s="177">
        <f>+'Anexo 1 - Balance'!C247/'Anexo 1 - Balance'!C106</f>
        <v>0.13760886913603521</v>
      </c>
      <c r="D103" s="177">
        <f>+'Anexo 1 - Balance'!D247/'Anexo 1 - Balance'!D106</f>
        <v>0.11433946553267785</v>
      </c>
      <c r="E103" s="177">
        <f>+'Anexo 1 - Balance'!E247/'Anexo 1 - Balance'!E106</f>
        <v>0.13020760094122383</v>
      </c>
      <c r="F103" s="177">
        <f>+'Anexo 1 - Balance'!F247/'Anexo 1 - Balance'!F106</f>
        <v>2.9646883238441866E-2</v>
      </c>
      <c r="G103" s="585">
        <f>+'Anexo 1 - Balance'!G247/'Anexo 1 - Balance'!G106</f>
        <v>-1.8670119055454484E-2</v>
      </c>
      <c r="H103" s="181">
        <f>+'Anexo 1 - Balance'!H247/'Anexo 1 - Balance'!H106</f>
        <v>0.21434942455404452</v>
      </c>
      <c r="I103" s="177">
        <f>+'Anexo 1 - Balance'!I247/'Anexo 1 - Balance'!I106</f>
        <v>-1.645494988476175E-2</v>
      </c>
      <c r="J103" s="585">
        <f>+'Anexo 1 - Balance'!J247/'Anexo 1 - Balance'!J106</f>
        <v>-0.23283370042509394</v>
      </c>
      <c r="K103" s="106"/>
      <c r="L103" s="106"/>
      <c r="M103" s="106"/>
      <c r="N103" s="106"/>
      <c r="O103" s="106"/>
      <c r="P103" s="21"/>
      <c r="Q103" s="21"/>
      <c r="R103" s="21"/>
      <c r="S103" s="21"/>
      <c r="T103" s="21"/>
      <c r="AH103" s="102">
        <v>0.94</v>
      </c>
      <c r="AI103" s="78" t="s">
        <v>308</v>
      </c>
    </row>
    <row r="104" spans="1:35" s="44" customFormat="1" ht="15.75">
      <c r="A104" s="190" t="s">
        <v>94</v>
      </c>
      <c r="B104" s="350">
        <v>3.26</v>
      </c>
      <c r="C104" s="177">
        <f>+('Anexo 1 - Balance'!C221+'Anexo 1 - Balance'!C224)/'Anexo 1 - Balance'!C106</f>
        <v>0.51860550062225941</v>
      </c>
      <c r="D104" s="177">
        <f>+('Anexo 1 - Balance'!D221+'Anexo 1 - Balance'!D224)/'Anexo 1 - Balance'!D106</f>
        <v>0.57541936013033312</v>
      </c>
      <c r="E104" s="177">
        <f>+('Anexo 1 - Balance'!E221+'Anexo 1 - Balance'!E224)/'Anexo 1 - Balance'!E106</f>
        <v>0.59614481025645216</v>
      </c>
      <c r="F104" s="177">
        <f>+('Anexo 1 - Balance'!F221+'Anexo 1 - Balance'!F224)/'Anexo 1 - Balance'!F106</f>
        <v>0.47127308668935947</v>
      </c>
      <c r="G104" s="585">
        <f>+('Anexo 1 - Balance'!G221+'Anexo 1 - Balance'!G224)/'Anexo 1 - Balance'!G106</f>
        <v>0.5078083941135193</v>
      </c>
      <c r="H104" s="181">
        <f>+('Anexo 1 - Balance'!H221+'Anexo 1 - Balance'!H224)/'Anexo 1 - Balance'!H106</f>
        <v>0.34113434225568345</v>
      </c>
      <c r="I104" s="177">
        <f>+('Anexo 1 - Balance'!I221+'Anexo 1 - Balance'!I224)/'Anexo 1 - Balance'!I106</f>
        <v>0.24187972342820388</v>
      </c>
      <c r="J104" s="585">
        <f>+('Anexo 1 - Balance'!J221+'Anexo 1 - Balance'!J224)/'Anexo 1 - Balance'!J106</f>
        <v>0.19854879960545005</v>
      </c>
      <c r="K104" s="106"/>
      <c r="L104" s="106"/>
      <c r="M104" s="106"/>
      <c r="N104" s="106"/>
      <c r="O104" s="106"/>
      <c r="P104" s="21"/>
      <c r="Q104" s="21"/>
      <c r="R104" s="21"/>
      <c r="S104" s="21"/>
      <c r="T104" s="21"/>
      <c r="AH104" s="101">
        <v>0.95</v>
      </c>
      <c r="AI104" s="78" t="s">
        <v>308</v>
      </c>
    </row>
    <row r="105" spans="1:35" s="44" customFormat="1" ht="15" customHeight="1">
      <c r="A105" s="307" t="s">
        <v>485</v>
      </c>
      <c r="B105" s="350">
        <v>6.72</v>
      </c>
      <c r="C105" s="177">
        <f>(+'Anexo 2 - ER'!C22+'Anexo 2 - ER'!C19)/'Anexo 1 - Balance'!C106</f>
        <v>0.39911796229815427</v>
      </c>
      <c r="D105" s="177">
        <f>(+'Anexo 2 - ER'!D22+'Anexo 2 - ER'!D19)/'Anexo 1 - Balance'!D106</f>
        <v>0.51768763174364263</v>
      </c>
      <c r="E105" s="177">
        <f>(+'Anexo 2 - ER'!E22+'Anexo 2 - ER'!E19)/'Anexo 1 - Balance'!E106</f>
        <v>0.44541479173857734</v>
      </c>
      <c r="F105" s="177">
        <f>(+'Anexo 2 - ER'!F22+'Anexo 2 - ER'!F19)/'Anexo 1 - Balance'!F106</f>
        <v>0.35286789489532255</v>
      </c>
      <c r="G105" s="585">
        <f>(+'Anexo 2 - ER'!G22+'Anexo 2 - ER'!G19)/'Anexo 1 - Balance'!G106</f>
        <v>0.36892022321952261</v>
      </c>
      <c r="H105" s="181">
        <f>(+'Anexo 2 - ER'!H22+'Anexo 2 - ER'!H19)/'Anexo 1 - Balance'!H106</f>
        <v>0.70092205095700821</v>
      </c>
      <c r="I105" s="177">
        <f>(+'Anexo 2 - ER'!I22+'Anexo 2 - ER'!I19)/'Anexo 1 - Balance'!I106</f>
        <v>0.39745832663343533</v>
      </c>
      <c r="J105" s="585">
        <f>(+'Anexo 2 - ER'!J22+'Anexo 2 - ER'!J19)/'Anexo 1 - Balance'!J106</f>
        <v>0.42652108126253541</v>
      </c>
      <c r="K105" s="106"/>
      <c r="L105" s="106"/>
      <c r="M105" s="106"/>
      <c r="N105" s="106"/>
      <c r="O105" s="106"/>
      <c r="P105" s="21"/>
      <c r="Q105" s="21"/>
      <c r="R105" s="21"/>
      <c r="S105" s="21"/>
      <c r="T105" s="21"/>
      <c r="AH105" s="102">
        <v>0.96</v>
      </c>
      <c r="AI105" s="78" t="s">
        <v>308</v>
      </c>
    </row>
    <row r="106" spans="1:35" s="44" customFormat="1" ht="15" customHeight="1" thickBot="1">
      <c r="A106" s="191" t="s">
        <v>95</v>
      </c>
      <c r="B106" s="351">
        <v>1.05</v>
      </c>
      <c r="C106" s="179">
        <f>+'Anexo 1 - Balance'!C229/'Anexo 1 - Balance'!C206</f>
        <v>3.2810180816622085</v>
      </c>
      <c r="D106" s="179">
        <f>+'Anexo 1 - Balance'!D229/'Anexo 1 - Balance'!D206</f>
        <v>3.3471131295089225</v>
      </c>
      <c r="E106" s="179">
        <f>+'Anexo 1 - Balance'!E229/'Anexo 1 - Balance'!E206</f>
        <v>3.5509744518867707</v>
      </c>
      <c r="F106" s="179">
        <f>+'Anexo 1 - Balance'!F229/'Anexo 1 - Balance'!F206</f>
        <v>1.7727763386234383</v>
      </c>
      <c r="G106" s="586">
        <f>+'Anexo 1 - Balance'!G229/'Anexo 1 - Balance'!G206</f>
        <v>1.9122184557008</v>
      </c>
      <c r="H106" s="182">
        <f>+'Anexo 1 - Balance'!H229/'Anexo 1 - Balance'!H206</f>
        <v>1.2419800395946565</v>
      </c>
      <c r="I106" s="179">
        <f>+'Anexo 1 - Balance'!I229/'Anexo 1 - Balance'!I206</f>
        <v>0.67443738921672014</v>
      </c>
      <c r="J106" s="586">
        <f>+'Anexo 1 - Balance'!J229/'Anexo 1 - Balance'!J206</f>
        <v>0.47615995149315105</v>
      </c>
      <c r="K106" s="106"/>
      <c r="L106" s="106"/>
      <c r="M106" s="106"/>
      <c r="N106" s="106"/>
      <c r="O106" s="106"/>
      <c r="P106" s="21"/>
      <c r="Q106" s="21"/>
      <c r="R106" s="21"/>
      <c r="S106" s="21"/>
      <c r="T106" s="21"/>
      <c r="AH106" s="101">
        <v>0.97</v>
      </c>
      <c r="AI106" s="78" t="s">
        <v>308</v>
      </c>
    </row>
    <row r="107" spans="1:35" ht="15.75" thickBot="1">
      <c r="A107" s="242"/>
      <c r="H107" s="588"/>
      <c r="J107" s="21"/>
      <c r="AH107" s="102">
        <v>0.98</v>
      </c>
      <c r="AI107" s="78" t="s">
        <v>308</v>
      </c>
    </row>
    <row r="108" spans="1:35" s="44" customFormat="1">
      <c r="A108" s="189" t="s">
        <v>96</v>
      </c>
      <c r="B108" s="349"/>
      <c r="C108" s="180">
        <f t="shared" ref="C108:J108" si="10">+SUMPRODUCT($B$103:$B$106,C103:C106)</f>
        <v>8.720509805949872</v>
      </c>
      <c r="D108" s="180">
        <f t="shared" si="10"/>
        <v>9.6192636792209001</v>
      </c>
      <c r="E108" s="180">
        <f t="shared" si="10"/>
        <v>9.5193045185748115</v>
      </c>
      <c r="F108" s="180">
        <f t="shared" si="10"/>
        <v>5.9635212259026682</v>
      </c>
      <c r="G108" s="579">
        <f t="shared" si="10"/>
        <v>6.0199526623273227</v>
      </c>
      <c r="H108" s="305">
        <f t="shared" si="10"/>
        <v>8.5325054048335449</v>
      </c>
      <c r="I108" s="180">
        <f t="shared" si="10"/>
        <v>4.0596626407861489</v>
      </c>
      <c r="J108" s="579">
        <f t="shared" si="10"/>
        <v>2.4860696270771978</v>
      </c>
      <c r="K108" s="107"/>
      <c r="L108" s="107"/>
      <c r="M108" s="107"/>
      <c r="N108" s="108"/>
      <c r="O108" s="107"/>
      <c r="P108" s="21"/>
      <c r="Q108" s="21"/>
      <c r="R108" s="21"/>
      <c r="S108" s="21"/>
      <c r="T108" s="21"/>
      <c r="AH108" s="101">
        <v>0.99</v>
      </c>
      <c r="AI108" s="78" t="s">
        <v>308</v>
      </c>
    </row>
    <row r="109" spans="1:35" s="44" customFormat="1" ht="35.25" thickBot="1">
      <c r="A109" s="191" t="s">
        <v>97</v>
      </c>
      <c r="B109" s="351"/>
      <c r="C109" s="354" t="str">
        <f t="shared" ref="C109:J109" si="11">+VLOOKUP(C108,$AH$2:$AI$306,2)</f>
        <v xml:space="preserve">Poca probabilidad de insolvencia </v>
      </c>
      <c r="D109" s="354" t="str">
        <f t="shared" si="11"/>
        <v xml:space="preserve">Poca probabilidad de insolvencia </v>
      </c>
      <c r="E109" s="354" t="str">
        <f t="shared" si="11"/>
        <v xml:space="preserve">Poca probabilidad de insolvencia </v>
      </c>
      <c r="F109" s="354" t="str">
        <f t="shared" si="11"/>
        <v xml:space="preserve">Poca probabilidad de insolvencia </v>
      </c>
      <c r="G109" s="587" t="str">
        <f t="shared" si="11"/>
        <v xml:space="preserve">Poca probabilidad de insolvencia </v>
      </c>
      <c r="H109" s="589" t="str">
        <f t="shared" si="11"/>
        <v xml:space="preserve">Poca probabilidad de insolvencia </v>
      </c>
      <c r="I109" s="354" t="str">
        <f t="shared" si="11"/>
        <v xml:space="preserve">Poca probabilidad de insolvencia </v>
      </c>
      <c r="J109" s="587" t="str">
        <f t="shared" si="11"/>
        <v>Zona Gris</v>
      </c>
      <c r="K109" s="109"/>
      <c r="L109" s="109"/>
      <c r="M109" s="109"/>
      <c r="N109" s="109"/>
      <c r="O109" s="109"/>
      <c r="P109" s="21"/>
      <c r="Q109" s="21"/>
      <c r="R109" s="21"/>
      <c r="S109" s="21"/>
      <c r="T109" s="21"/>
      <c r="AH109" s="102">
        <v>1</v>
      </c>
      <c r="AI109" s="78" t="s">
        <v>308</v>
      </c>
    </row>
    <row r="110" spans="1:35" ht="34.5" customHeight="1" thickTop="1">
      <c r="A110" s="1566" t="s">
        <v>508</v>
      </c>
      <c r="B110" s="1566"/>
      <c r="C110" s="1566"/>
      <c r="D110" s="1566"/>
      <c r="E110" s="1566"/>
      <c r="F110" s="1566"/>
      <c r="G110" s="1567"/>
      <c r="H110" s="1567"/>
      <c r="I110" s="1567"/>
      <c r="J110" s="1566"/>
      <c r="AH110" s="101">
        <v>1.01</v>
      </c>
      <c r="AI110" s="78" t="s">
        <v>308</v>
      </c>
    </row>
    <row r="111" spans="1:35">
      <c r="A111" s="188" t="s">
        <v>501</v>
      </c>
      <c r="J111" s="21"/>
      <c r="AH111" s="102">
        <v>1.02</v>
      </c>
      <c r="AI111" s="78" t="s">
        <v>308</v>
      </c>
    </row>
    <row r="112" spans="1:35" ht="15.75" thickBot="1">
      <c r="A112" s="242"/>
      <c r="J112" s="21"/>
      <c r="AH112" s="101">
        <v>1.03</v>
      </c>
      <c r="AI112" s="78" t="s">
        <v>308</v>
      </c>
    </row>
    <row r="113" spans="1:35" customFormat="1" ht="15.75">
      <c r="A113" s="357" t="s">
        <v>500</v>
      </c>
      <c r="B113" s="571" t="s">
        <v>705</v>
      </c>
      <c r="C113" s="178">
        <v>2007</v>
      </c>
      <c r="D113" s="178">
        <v>2008</v>
      </c>
      <c r="E113" s="178">
        <v>2009</v>
      </c>
      <c r="F113" s="178">
        <v>2010</v>
      </c>
      <c r="G113" s="575">
        <v>2011</v>
      </c>
      <c r="H113" s="309">
        <v>2012</v>
      </c>
      <c r="I113" s="178">
        <v>2013</v>
      </c>
      <c r="J113" s="575">
        <v>2014</v>
      </c>
      <c r="K113" s="105"/>
      <c r="L113" s="21"/>
      <c r="M113" s="21"/>
      <c r="N113" s="21"/>
      <c r="O113" s="21"/>
      <c r="P113" s="21"/>
      <c r="Q113" s="21"/>
      <c r="R113" s="21"/>
      <c r="S113" s="21"/>
      <c r="T113" s="21"/>
      <c r="AH113" s="102">
        <v>1.04</v>
      </c>
      <c r="AI113" s="78" t="s">
        <v>308</v>
      </c>
    </row>
    <row r="114" spans="1:35" customFormat="1" ht="15.75">
      <c r="A114" s="358"/>
      <c r="B114" s="355"/>
      <c r="C114" s="356"/>
      <c r="D114" s="356"/>
      <c r="E114" s="356"/>
      <c r="F114" s="356"/>
      <c r="G114" s="590"/>
      <c r="H114" s="78"/>
      <c r="I114" s="356"/>
      <c r="J114" s="590"/>
      <c r="K114" s="106"/>
      <c r="L114" s="21"/>
      <c r="M114" s="21"/>
      <c r="N114" s="21"/>
      <c r="O114" s="21"/>
      <c r="P114" s="21"/>
      <c r="Q114" s="21"/>
      <c r="R114" s="21"/>
      <c r="S114" s="21"/>
      <c r="T114" s="21"/>
      <c r="AH114" s="101">
        <v>1.05</v>
      </c>
      <c r="AI114" s="78" t="s">
        <v>308</v>
      </c>
    </row>
    <row r="115" spans="1:35" customFormat="1" ht="15.75">
      <c r="A115" s="190" t="s">
        <v>491</v>
      </c>
      <c r="B115" s="352">
        <v>6.56</v>
      </c>
      <c r="C115" s="177">
        <f>+'Anexo - Balance Sector '!B68/'Anexo - Balance Sector '!B26</f>
        <v>0.24646372306732209</v>
      </c>
      <c r="D115" s="177">
        <f>+'Anexo - Balance Sector '!C68/'Anexo - Balance Sector '!C26</f>
        <v>0.25977392806954397</v>
      </c>
      <c r="E115" s="177">
        <f>+'Anexo - Balance Sector '!D68/'Anexo - Balance Sector '!D26</f>
        <v>0.24006575260270718</v>
      </c>
      <c r="F115" s="177">
        <f>+'Anexo - Balance Sector '!E68/'Anexo - Balance Sector '!E26</f>
        <v>0.26848896802509498</v>
      </c>
      <c r="G115" s="577">
        <f>+'Anexo - Balance Sector '!F68/'Anexo - Balance Sector '!F26</f>
        <v>0.25424630460515518</v>
      </c>
      <c r="H115" s="181">
        <f>+'Anexo - Balance Sector '!G68/'Anexo - Balance Sector '!G26</f>
        <v>0.26150742534322524</v>
      </c>
      <c r="I115" s="177">
        <f>+'Anexo - Balance Sector '!H68/'Anexo - Balance Sector '!H26</f>
        <v>0.24477827173060795</v>
      </c>
      <c r="J115" s="577">
        <f>+'Anexo - Balance Sector '!I68/'Anexo - Balance Sector '!I26</f>
        <v>0.23975845309553978</v>
      </c>
      <c r="K115" s="106"/>
      <c r="L115" s="21"/>
      <c r="M115" s="21"/>
      <c r="N115" s="21"/>
      <c r="O115" s="21"/>
      <c r="P115" s="21"/>
      <c r="Q115" s="21"/>
      <c r="R115" s="21"/>
      <c r="S115" s="21"/>
      <c r="T115" s="21"/>
      <c r="AH115" s="102">
        <v>1.06</v>
      </c>
      <c r="AI115" s="78" t="s">
        <v>308</v>
      </c>
    </row>
    <row r="116" spans="1:35" customFormat="1" ht="15.75">
      <c r="A116" s="190" t="s">
        <v>94</v>
      </c>
      <c r="B116" s="352">
        <v>3.26</v>
      </c>
      <c r="C116" s="177">
        <f>+('Anexo - Balance Sector '!B55+'Anexo - Balance Sector '!B57+'Anexo - Balance Sector '!B58)/'Anexo - Balance Sector '!B26</f>
        <v>0.12282686822788887</v>
      </c>
      <c r="D116" s="177">
        <f>+('Anexo - Balance Sector '!C55+'Anexo - Balance Sector '!C57+'Anexo - Balance Sector '!C58)/'Anexo - Balance Sector '!C26</f>
        <v>0.14813672943445746</v>
      </c>
      <c r="E116" s="177">
        <f>+('Anexo - Balance Sector '!D55+'Anexo - Balance Sector '!D57+'Anexo - Balance Sector '!D58)/'Anexo - Balance Sector '!D26</f>
        <v>0.15848710678131009</v>
      </c>
      <c r="F116" s="177">
        <f>+('Anexo - Balance Sector '!E55+'Anexo - Balance Sector '!E57+'Anexo - Balance Sector '!E58)/'Anexo - Balance Sector '!E26</f>
        <v>0.16277445547223832</v>
      </c>
      <c r="G116" s="577">
        <f>+('Anexo - Balance Sector '!F55+'Anexo - Balance Sector '!F57+'Anexo - Balance Sector '!F58)/'Anexo - Balance Sector '!F26</f>
        <v>0.15965395564809612</v>
      </c>
      <c r="H116" s="181">
        <f>+('Anexo - Balance Sector '!G55+'Anexo - Balance Sector '!G57+'Anexo - Balance Sector '!G58)/'Anexo - Balance Sector '!G26</f>
        <v>0.17270741407524451</v>
      </c>
      <c r="I116" s="177">
        <f>+('Anexo - Balance Sector '!H55+'Anexo - Balance Sector '!H57+'Anexo - Balance Sector '!H58)/'Anexo - Balance Sector '!H26</f>
        <v>0.19723998409202687</v>
      </c>
      <c r="J116" s="577">
        <f>+('Anexo - Balance Sector '!I55+'Anexo - Balance Sector '!I57+'Anexo - Balance Sector '!I58)/'Anexo - Balance Sector '!I26</f>
        <v>0.18157645113318854</v>
      </c>
      <c r="K116" s="106"/>
      <c r="L116" s="21"/>
      <c r="M116" s="21"/>
      <c r="N116" s="21"/>
      <c r="O116" s="21"/>
      <c r="P116" s="21"/>
      <c r="Q116" s="21"/>
      <c r="R116" s="21"/>
      <c r="S116" s="21"/>
      <c r="T116" s="21"/>
      <c r="AH116" s="101">
        <v>1.07</v>
      </c>
      <c r="AI116" s="78" t="s">
        <v>308</v>
      </c>
    </row>
    <row r="117" spans="1:35" customFormat="1" ht="30">
      <c r="A117" s="307" t="s">
        <v>486</v>
      </c>
      <c r="B117" s="352">
        <v>6.72</v>
      </c>
      <c r="C117" s="177">
        <f>(+'Anexo - ER Sector '!B15+'Anexo - ER Sector '!B13)/'Anexo - Balance Sector '!B26</f>
        <v>0.13789461301581193</v>
      </c>
      <c r="D117" s="177">
        <f>(+'Anexo - ER Sector '!C15+'Anexo - ER Sector '!C13)/'Anexo - Balance Sector '!C26</f>
        <v>0.15294545461309317</v>
      </c>
      <c r="E117" s="177">
        <f>(+'Anexo - ER Sector '!D15+'Anexo - ER Sector '!D13)/'Anexo - Balance Sector '!D26</f>
        <v>0.14173769378371226</v>
      </c>
      <c r="F117" s="177">
        <f>(+'Anexo - ER Sector '!E15+'Anexo - ER Sector '!E13)/'Anexo - Balance Sector '!E26</f>
        <v>0.15026046857051176</v>
      </c>
      <c r="G117" s="577">
        <f>(+'Anexo - ER Sector '!F15+'Anexo - ER Sector '!F13)/'Anexo - Balance Sector '!F26</f>
        <v>0.13156557668769644</v>
      </c>
      <c r="H117" s="181">
        <f>(+'Anexo - ER Sector '!G15+'Anexo - ER Sector '!G13)/'Anexo - Balance Sector '!G26</f>
        <v>0.132115473754568</v>
      </c>
      <c r="I117" s="177">
        <f>(+'Anexo - ER Sector '!H15+'Anexo - ER Sector '!H13)/'Anexo - Balance Sector '!H26</f>
        <v>0.12839006721961108</v>
      </c>
      <c r="J117" s="577">
        <f>(+'Anexo - ER Sector '!I15+'Anexo - ER Sector '!I13)/'Anexo - Balance Sector '!I26</f>
        <v>0.11846330128775563</v>
      </c>
      <c r="K117" s="106"/>
      <c r="L117" s="21"/>
      <c r="M117" s="21"/>
      <c r="N117" s="21"/>
      <c r="O117" s="21"/>
      <c r="P117" s="21"/>
      <c r="Q117" s="21"/>
      <c r="R117" s="21"/>
      <c r="S117" s="21"/>
      <c r="T117" s="21"/>
      <c r="AH117" s="102">
        <v>1.08</v>
      </c>
      <c r="AI117" s="78" t="s">
        <v>308</v>
      </c>
    </row>
    <row r="118" spans="1:35" customFormat="1" ht="16.5" thickBot="1">
      <c r="A118" s="191" t="s">
        <v>95</v>
      </c>
      <c r="B118" s="353">
        <v>1.05</v>
      </c>
      <c r="C118" s="179">
        <f>+'Anexo - Balance Sector '!B59/'Anexo - Balance Sector '!B49</f>
        <v>0.75218520627578667</v>
      </c>
      <c r="D118" s="179">
        <f>+'Anexo - Balance Sector '!C59/'Anexo - Balance Sector '!C49</f>
        <v>0.76952870749418856</v>
      </c>
      <c r="E118" s="179">
        <f>+'Anexo - Balance Sector '!D59/'Anexo - Balance Sector '!D49</f>
        <v>0.80650005532634639</v>
      </c>
      <c r="F118" s="179">
        <f>+'Anexo - Balance Sector '!E59/'Anexo - Balance Sector '!E49</f>
        <v>0.70746276875893976</v>
      </c>
      <c r="G118" s="578">
        <f>+'Anexo - Balance Sector '!F59/'Anexo - Balance Sector '!F49</f>
        <v>0.70979000171527185</v>
      </c>
      <c r="H118" s="182">
        <f>+'Anexo - Balance Sector '!G59/'Anexo - Balance Sector '!G49</f>
        <v>0.70662826443129523</v>
      </c>
      <c r="I118" s="179">
        <f>+'Anexo - Balance Sector '!H59/'Anexo - Balance Sector '!H49</f>
        <v>0.72667795948729863</v>
      </c>
      <c r="J118" s="578">
        <f>+'Anexo - Balance Sector '!I59/'Anexo - Balance Sector '!I49</f>
        <v>0.65591349952396116</v>
      </c>
      <c r="K118" s="106"/>
      <c r="L118" s="21"/>
      <c r="M118" s="21"/>
      <c r="N118" s="21"/>
      <c r="O118" s="21"/>
      <c r="P118" s="21"/>
      <c r="Q118" s="21"/>
      <c r="R118" s="21"/>
      <c r="S118" s="21"/>
      <c r="T118" s="21"/>
      <c r="AH118" s="101">
        <v>1.0900000000000001</v>
      </c>
      <c r="AI118" s="78" t="s">
        <v>308</v>
      </c>
    </row>
    <row r="119" spans="1:35" ht="16.5" thickBot="1">
      <c r="A119" s="242"/>
      <c r="H119" s="588"/>
      <c r="J119" s="21"/>
      <c r="K119" s="106"/>
      <c r="AH119" s="102">
        <v>1.1000000000000001</v>
      </c>
      <c r="AI119" s="78" t="s">
        <v>308</v>
      </c>
    </row>
    <row r="120" spans="1:35" customFormat="1" ht="15.75">
      <c r="A120" s="189" t="s">
        <v>96</v>
      </c>
      <c r="B120" s="349"/>
      <c r="C120" s="180">
        <f t="shared" ref="C120:J120" si="12">+SUMPRODUCT($B$115:$B$118,C115:C118)</f>
        <v>3.7336638798003823</v>
      </c>
      <c r="D120" s="180">
        <f t="shared" si="12"/>
        <v>4.0228413039614237</v>
      </c>
      <c r="E120" s="180">
        <f t="shared" si="12"/>
        <v>3.8908016655000397</v>
      </c>
      <c r="F120" s="180">
        <f t="shared" si="12"/>
        <v>4.0445186110748459</v>
      </c>
      <c r="G120" s="579">
        <f t="shared" si="12"/>
        <v>3.8177278307649667</v>
      </c>
      <c r="H120" s="305">
        <f t="shared" si="12"/>
        <v>3.9082905414204112</v>
      </c>
      <c r="I120" s="180">
        <f t="shared" si="12"/>
        <v>3.8745409198702454</v>
      </c>
      <c r="J120" s="579">
        <f t="shared" si="12"/>
        <v>3.6495372421548122</v>
      </c>
      <c r="K120" s="106"/>
      <c r="L120" s="21"/>
      <c r="M120" s="21"/>
      <c r="N120" s="21"/>
      <c r="O120" s="21"/>
      <c r="P120" s="21"/>
      <c r="Q120" s="21"/>
      <c r="R120" s="21"/>
      <c r="S120" s="21"/>
      <c r="T120" s="21"/>
      <c r="AH120" s="101">
        <v>1.1100000000000001</v>
      </c>
      <c r="AI120" s="78" t="s">
        <v>310</v>
      </c>
    </row>
    <row r="121" spans="1:35" customFormat="1" ht="35.25" thickBot="1">
      <c r="A121" s="191" t="s">
        <v>97</v>
      </c>
      <c r="B121" s="351"/>
      <c r="C121" s="354" t="str">
        <f t="shared" ref="C121:J121" si="13">+VLOOKUP(C120,$AH$2:$AI$306,2)</f>
        <v xml:space="preserve">Poca probabilidad de insolvencia </v>
      </c>
      <c r="D121" s="354" t="str">
        <f t="shared" si="13"/>
        <v xml:space="preserve">Poca probabilidad de insolvencia </v>
      </c>
      <c r="E121" s="354" t="str">
        <f t="shared" si="13"/>
        <v xml:space="preserve">Poca probabilidad de insolvencia </v>
      </c>
      <c r="F121" s="354" t="str">
        <f t="shared" si="13"/>
        <v xml:space="preserve">Poca probabilidad de insolvencia </v>
      </c>
      <c r="G121" s="587" t="str">
        <f t="shared" si="13"/>
        <v xml:space="preserve">Poca probabilidad de insolvencia </v>
      </c>
      <c r="H121" s="589" t="str">
        <f t="shared" si="13"/>
        <v xml:space="preserve">Poca probabilidad de insolvencia </v>
      </c>
      <c r="I121" s="354" t="str">
        <f t="shared" si="13"/>
        <v xml:space="preserve">Poca probabilidad de insolvencia </v>
      </c>
      <c r="J121" s="587" t="str">
        <f t="shared" si="13"/>
        <v xml:space="preserve">Poca probabilidad de insolvencia </v>
      </c>
      <c r="K121" s="109"/>
      <c r="L121" s="21"/>
      <c r="M121" s="21"/>
      <c r="N121" s="21"/>
      <c r="O121" s="21"/>
      <c r="P121" s="21"/>
      <c r="Q121" s="21"/>
      <c r="R121" s="21"/>
      <c r="S121" s="105"/>
      <c r="T121" s="12"/>
      <c r="U121" s="18"/>
      <c r="V121" s="18"/>
      <c r="W121" s="18"/>
      <c r="X121" s="18"/>
      <c r="AH121" s="102">
        <v>1.1200000000000001</v>
      </c>
      <c r="AI121" s="78" t="s">
        <v>310</v>
      </c>
    </row>
    <row r="122" spans="1:35" ht="15.75" thickBot="1">
      <c r="A122" s="306" t="s">
        <v>484</v>
      </c>
      <c r="AH122" s="101">
        <v>1.1299999999999999</v>
      </c>
      <c r="AI122" s="78" t="s">
        <v>310</v>
      </c>
    </row>
    <row r="123" spans="1:35" ht="45">
      <c r="A123" s="67" t="s">
        <v>504</v>
      </c>
      <c r="B123" s="247" t="s">
        <v>307</v>
      </c>
      <c r="AH123" s="102">
        <v>1.1399999999999999</v>
      </c>
      <c r="AI123" s="78" t="s">
        <v>310</v>
      </c>
    </row>
    <row r="124" spans="1:35" ht="45">
      <c r="A124" s="68" t="s">
        <v>505</v>
      </c>
      <c r="B124" s="248" t="s">
        <v>308</v>
      </c>
      <c r="T124" s="110"/>
      <c r="AH124" s="101">
        <v>1.1499999999999999</v>
      </c>
      <c r="AI124" s="78" t="s">
        <v>310</v>
      </c>
    </row>
    <row r="125" spans="1:35" ht="15.75" thickBot="1">
      <c r="A125" s="246" t="s">
        <v>506</v>
      </c>
      <c r="B125" s="249" t="s">
        <v>309</v>
      </c>
      <c r="T125" s="110"/>
      <c r="AH125" s="102">
        <v>1.1599999999999999</v>
      </c>
      <c r="AI125" s="78" t="s">
        <v>310</v>
      </c>
    </row>
    <row r="126" spans="1:35" ht="34.5" customHeight="1">
      <c r="A126" s="1565" t="s">
        <v>503</v>
      </c>
      <c r="B126" s="1565"/>
      <c r="C126" s="1565"/>
      <c r="D126" s="1565"/>
      <c r="E126" s="1565"/>
      <c r="F126" s="1565"/>
      <c r="G126" s="1565"/>
      <c r="H126" s="1565"/>
      <c r="I126" s="1565"/>
      <c r="J126" s="1565"/>
      <c r="AH126" s="101">
        <v>1.17</v>
      </c>
      <c r="AI126" s="78" t="s">
        <v>310</v>
      </c>
    </row>
    <row r="127" spans="1:35">
      <c r="AH127" s="102">
        <v>1.18</v>
      </c>
      <c r="AI127" s="78" t="s">
        <v>310</v>
      </c>
    </row>
    <row r="128" spans="1:35">
      <c r="AH128" s="101">
        <v>1.19</v>
      </c>
      <c r="AI128" s="78" t="s">
        <v>310</v>
      </c>
    </row>
    <row r="129" spans="34:35">
      <c r="AH129" s="102">
        <v>1.2</v>
      </c>
      <c r="AI129" s="78" t="s">
        <v>310</v>
      </c>
    </row>
    <row r="130" spans="34:35">
      <c r="AH130" s="101">
        <v>1.21</v>
      </c>
      <c r="AI130" s="78" t="s">
        <v>310</v>
      </c>
    </row>
    <row r="131" spans="34:35">
      <c r="AH131" s="102">
        <v>1.22</v>
      </c>
      <c r="AI131" s="78" t="s">
        <v>310</v>
      </c>
    </row>
    <row r="132" spans="34:35">
      <c r="AH132" s="101">
        <v>1.23</v>
      </c>
      <c r="AI132" s="78" t="s">
        <v>310</v>
      </c>
    </row>
    <row r="133" spans="34:35">
      <c r="AH133" s="102">
        <v>1.24</v>
      </c>
      <c r="AI133" s="78" t="s">
        <v>310</v>
      </c>
    </row>
    <row r="134" spans="34:35">
      <c r="AH134" s="101">
        <v>1.25</v>
      </c>
      <c r="AI134" s="78" t="s">
        <v>310</v>
      </c>
    </row>
    <row r="135" spans="34:35">
      <c r="AH135" s="102">
        <v>1.26</v>
      </c>
      <c r="AI135" s="78" t="s">
        <v>310</v>
      </c>
    </row>
    <row r="136" spans="34:35">
      <c r="AH136" s="101">
        <v>1.27</v>
      </c>
      <c r="AI136" s="78" t="s">
        <v>310</v>
      </c>
    </row>
    <row r="137" spans="34:35">
      <c r="AH137" s="102">
        <v>1.28</v>
      </c>
      <c r="AI137" s="78" t="s">
        <v>310</v>
      </c>
    </row>
    <row r="138" spans="34:35">
      <c r="AH138" s="101">
        <v>1.29</v>
      </c>
      <c r="AI138" s="78" t="s">
        <v>310</v>
      </c>
    </row>
    <row r="139" spans="34:35">
      <c r="AH139" s="102">
        <v>1.3</v>
      </c>
      <c r="AI139" s="78" t="s">
        <v>310</v>
      </c>
    </row>
    <row r="140" spans="34:35">
      <c r="AH140" s="101">
        <v>1.31</v>
      </c>
      <c r="AI140" s="78" t="s">
        <v>310</v>
      </c>
    </row>
    <row r="141" spans="34:35">
      <c r="AH141" s="102">
        <v>1.32</v>
      </c>
      <c r="AI141" s="78" t="s">
        <v>310</v>
      </c>
    </row>
    <row r="142" spans="34:35">
      <c r="AH142" s="101">
        <v>1.33</v>
      </c>
      <c r="AI142" s="78" t="s">
        <v>310</v>
      </c>
    </row>
    <row r="143" spans="34:35">
      <c r="AH143" s="102">
        <v>1.34</v>
      </c>
      <c r="AI143" s="78" t="s">
        <v>310</v>
      </c>
    </row>
    <row r="144" spans="34:35">
      <c r="AH144" s="101">
        <v>1.35</v>
      </c>
      <c r="AI144" s="78" t="s">
        <v>310</v>
      </c>
    </row>
    <row r="145" spans="34:35">
      <c r="AH145" s="102">
        <v>1.36</v>
      </c>
      <c r="AI145" s="78" t="s">
        <v>310</v>
      </c>
    </row>
    <row r="146" spans="34:35">
      <c r="AH146" s="101">
        <v>1.37</v>
      </c>
      <c r="AI146" s="78" t="s">
        <v>310</v>
      </c>
    </row>
    <row r="147" spans="34:35">
      <c r="AH147" s="102">
        <v>1.38</v>
      </c>
      <c r="AI147" s="78" t="s">
        <v>310</v>
      </c>
    </row>
    <row r="148" spans="34:35">
      <c r="AH148" s="101">
        <v>1.39</v>
      </c>
      <c r="AI148" s="78" t="s">
        <v>310</v>
      </c>
    </row>
    <row r="149" spans="34:35">
      <c r="AH149" s="102">
        <v>1.4</v>
      </c>
      <c r="AI149" s="78" t="s">
        <v>310</v>
      </c>
    </row>
    <row r="150" spans="34:35">
      <c r="AH150" s="101">
        <v>1.41</v>
      </c>
      <c r="AI150" s="78" t="s">
        <v>310</v>
      </c>
    </row>
    <row r="151" spans="34:35">
      <c r="AH151" s="102">
        <v>1.42</v>
      </c>
      <c r="AI151" s="78" t="s">
        <v>310</v>
      </c>
    </row>
    <row r="152" spans="34:35">
      <c r="AH152" s="101">
        <v>1.43</v>
      </c>
      <c r="AI152" s="78" t="s">
        <v>310</v>
      </c>
    </row>
    <row r="153" spans="34:35">
      <c r="AH153" s="102">
        <v>1.44</v>
      </c>
      <c r="AI153" s="78" t="s">
        <v>310</v>
      </c>
    </row>
    <row r="154" spans="34:35">
      <c r="AH154" s="101">
        <v>1.45</v>
      </c>
      <c r="AI154" s="78" t="s">
        <v>310</v>
      </c>
    </row>
    <row r="155" spans="34:35">
      <c r="AH155" s="102">
        <v>1.46</v>
      </c>
      <c r="AI155" s="78" t="s">
        <v>310</v>
      </c>
    </row>
    <row r="156" spans="34:35">
      <c r="AH156" s="101">
        <v>1.47</v>
      </c>
      <c r="AI156" s="78" t="s">
        <v>310</v>
      </c>
    </row>
    <row r="157" spans="34:35">
      <c r="AH157" s="102">
        <v>1.48</v>
      </c>
      <c r="AI157" s="78" t="s">
        <v>310</v>
      </c>
    </row>
    <row r="158" spans="34:35">
      <c r="AH158" s="101">
        <v>1.49</v>
      </c>
      <c r="AI158" s="78" t="s">
        <v>310</v>
      </c>
    </row>
    <row r="159" spans="34:35">
      <c r="AH159" s="102">
        <v>1.5</v>
      </c>
      <c r="AI159" s="78" t="s">
        <v>310</v>
      </c>
    </row>
    <row r="160" spans="34:35">
      <c r="AH160" s="101">
        <v>1.51</v>
      </c>
      <c r="AI160" s="78" t="s">
        <v>310</v>
      </c>
    </row>
    <row r="161" spans="34:35">
      <c r="AH161" s="102">
        <v>1.52</v>
      </c>
      <c r="AI161" s="78" t="s">
        <v>310</v>
      </c>
    </row>
    <row r="162" spans="34:35">
      <c r="AH162" s="101">
        <v>1.53</v>
      </c>
      <c r="AI162" s="78" t="s">
        <v>310</v>
      </c>
    </row>
    <row r="163" spans="34:35">
      <c r="AH163" s="102">
        <v>1.54</v>
      </c>
      <c r="AI163" s="78" t="s">
        <v>310</v>
      </c>
    </row>
    <row r="164" spans="34:35">
      <c r="AH164" s="101">
        <v>1.55</v>
      </c>
      <c r="AI164" s="78" t="s">
        <v>310</v>
      </c>
    </row>
    <row r="165" spans="34:35">
      <c r="AH165" s="102">
        <v>1.56</v>
      </c>
      <c r="AI165" s="78" t="s">
        <v>310</v>
      </c>
    </row>
    <row r="166" spans="34:35">
      <c r="AH166" s="101">
        <v>1.57</v>
      </c>
      <c r="AI166" s="78" t="s">
        <v>310</v>
      </c>
    </row>
    <row r="167" spans="34:35">
      <c r="AH167" s="102">
        <v>1.58</v>
      </c>
      <c r="AI167" s="78" t="s">
        <v>310</v>
      </c>
    </row>
    <row r="168" spans="34:35">
      <c r="AH168" s="101">
        <v>1.59</v>
      </c>
      <c r="AI168" s="78" t="s">
        <v>310</v>
      </c>
    </row>
    <row r="169" spans="34:35">
      <c r="AH169" s="102">
        <v>1.6</v>
      </c>
      <c r="AI169" s="78" t="s">
        <v>310</v>
      </c>
    </row>
    <row r="170" spans="34:35">
      <c r="AH170" s="101">
        <v>1.61</v>
      </c>
      <c r="AI170" s="78" t="s">
        <v>310</v>
      </c>
    </row>
    <row r="171" spans="34:35">
      <c r="AH171" s="102">
        <v>1.62</v>
      </c>
      <c r="AI171" s="78" t="s">
        <v>310</v>
      </c>
    </row>
    <row r="172" spans="34:35">
      <c r="AH172" s="101">
        <v>1.63</v>
      </c>
      <c r="AI172" s="78" t="s">
        <v>310</v>
      </c>
    </row>
    <row r="173" spans="34:35">
      <c r="AH173" s="102">
        <v>1.64</v>
      </c>
      <c r="AI173" s="78" t="s">
        <v>310</v>
      </c>
    </row>
    <row r="174" spans="34:35">
      <c r="AH174" s="101">
        <v>1.65</v>
      </c>
      <c r="AI174" s="78" t="s">
        <v>310</v>
      </c>
    </row>
    <row r="175" spans="34:35">
      <c r="AH175" s="102">
        <v>1.66</v>
      </c>
      <c r="AI175" s="78" t="s">
        <v>310</v>
      </c>
    </row>
    <row r="176" spans="34:35">
      <c r="AH176" s="101">
        <v>1.67</v>
      </c>
      <c r="AI176" s="78" t="s">
        <v>310</v>
      </c>
    </row>
    <row r="177" spans="34:35">
      <c r="AH177" s="102">
        <v>1.68</v>
      </c>
      <c r="AI177" s="78" t="s">
        <v>310</v>
      </c>
    </row>
    <row r="178" spans="34:35">
      <c r="AH178" s="101">
        <v>1.69</v>
      </c>
      <c r="AI178" s="78" t="s">
        <v>310</v>
      </c>
    </row>
    <row r="179" spans="34:35">
      <c r="AH179" s="102">
        <v>1.7</v>
      </c>
      <c r="AI179" s="78" t="s">
        <v>310</v>
      </c>
    </row>
    <row r="180" spans="34:35">
      <c r="AH180" s="101">
        <v>1.71</v>
      </c>
      <c r="AI180" s="78" t="s">
        <v>310</v>
      </c>
    </row>
    <row r="181" spans="34:35">
      <c r="AH181" s="102">
        <v>1.72</v>
      </c>
      <c r="AI181" s="78" t="s">
        <v>310</v>
      </c>
    </row>
    <row r="182" spans="34:35">
      <c r="AH182" s="101">
        <v>1.73</v>
      </c>
      <c r="AI182" s="78" t="s">
        <v>310</v>
      </c>
    </row>
    <row r="183" spans="34:35">
      <c r="AH183" s="102">
        <v>1.74</v>
      </c>
      <c r="AI183" s="78" t="s">
        <v>310</v>
      </c>
    </row>
    <row r="184" spans="34:35">
      <c r="AH184" s="101">
        <v>1.75</v>
      </c>
      <c r="AI184" s="78" t="s">
        <v>310</v>
      </c>
    </row>
    <row r="185" spans="34:35">
      <c r="AH185" s="102">
        <v>1.76</v>
      </c>
      <c r="AI185" s="78" t="s">
        <v>310</v>
      </c>
    </row>
    <row r="186" spans="34:35">
      <c r="AH186" s="101">
        <v>1.77</v>
      </c>
      <c r="AI186" s="78" t="s">
        <v>310</v>
      </c>
    </row>
    <row r="187" spans="34:35">
      <c r="AH187" s="102">
        <v>1.78</v>
      </c>
      <c r="AI187" s="78" t="s">
        <v>310</v>
      </c>
    </row>
    <row r="188" spans="34:35">
      <c r="AH188" s="101">
        <v>1.79</v>
      </c>
      <c r="AI188" s="78" t="s">
        <v>310</v>
      </c>
    </row>
    <row r="189" spans="34:35">
      <c r="AH189" s="102">
        <v>1.8</v>
      </c>
      <c r="AI189" s="78" t="s">
        <v>310</v>
      </c>
    </row>
    <row r="190" spans="34:35">
      <c r="AH190" s="101">
        <v>1.81</v>
      </c>
      <c r="AI190" s="78" t="s">
        <v>310</v>
      </c>
    </row>
    <row r="191" spans="34:35">
      <c r="AH191" s="102">
        <v>1.82</v>
      </c>
      <c r="AI191" s="78" t="s">
        <v>310</v>
      </c>
    </row>
    <row r="192" spans="34:35">
      <c r="AH192" s="101">
        <v>1.83</v>
      </c>
      <c r="AI192" s="78" t="s">
        <v>310</v>
      </c>
    </row>
    <row r="193" spans="34:35">
      <c r="AH193" s="102">
        <v>1.84</v>
      </c>
      <c r="AI193" s="78" t="s">
        <v>310</v>
      </c>
    </row>
    <row r="194" spans="34:35">
      <c r="AH194" s="101">
        <v>1.85</v>
      </c>
      <c r="AI194" s="78" t="s">
        <v>310</v>
      </c>
    </row>
    <row r="195" spans="34:35">
      <c r="AH195" s="102">
        <v>1.86</v>
      </c>
      <c r="AI195" s="78" t="s">
        <v>310</v>
      </c>
    </row>
    <row r="196" spans="34:35">
      <c r="AH196" s="101">
        <v>1.87</v>
      </c>
      <c r="AI196" s="78" t="s">
        <v>310</v>
      </c>
    </row>
    <row r="197" spans="34:35">
      <c r="AH197" s="102">
        <v>1.88</v>
      </c>
      <c r="AI197" s="78" t="s">
        <v>310</v>
      </c>
    </row>
    <row r="198" spans="34:35">
      <c r="AH198" s="101">
        <v>1.89</v>
      </c>
      <c r="AI198" s="78" t="s">
        <v>310</v>
      </c>
    </row>
    <row r="199" spans="34:35">
      <c r="AH199" s="102">
        <v>1.9</v>
      </c>
      <c r="AI199" s="78" t="s">
        <v>310</v>
      </c>
    </row>
    <row r="200" spans="34:35">
      <c r="AH200" s="101">
        <v>1.91</v>
      </c>
      <c r="AI200" s="78" t="s">
        <v>310</v>
      </c>
    </row>
    <row r="201" spans="34:35">
      <c r="AH201" s="102">
        <v>1.92</v>
      </c>
      <c r="AI201" s="78" t="s">
        <v>310</v>
      </c>
    </row>
    <row r="202" spans="34:35">
      <c r="AH202" s="101">
        <v>1.93</v>
      </c>
      <c r="AI202" s="78" t="s">
        <v>310</v>
      </c>
    </row>
    <row r="203" spans="34:35">
      <c r="AH203" s="102">
        <v>1.94</v>
      </c>
      <c r="AI203" s="78" t="s">
        <v>310</v>
      </c>
    </row>
    <row r="204" spans="34:35">
      <c r="AH204" s="101">
        <v>1.95</v>
      </c>
      <c r="AI204" s="78" t="s">
        <v>310</v>
      </c>
    </row>
    <row r="205" spans="34:35">
      <c r="AH205" s="102">
        <v>1.96</v>
      </c>
      <c r="AI205" s="78" t="s">
        <v>310</v>
      </c>
    </row>
    <row r="206" spans="34:35">
      <c r="AH206" s="101">
        <v>1.97</v>
      </c>
      <c r="AI206" s="78" t="s">
        <v>310</v>
      </c>
    </row>
    <row r="207" spans="34:35">
      <c r="AH207" s="102">
        <v>1.98</v>
      </c>
      <c r="AI207" s="78" t="s">
        <v>310</v>
      </c>
    </row>
    <row r="208" spans="34:35">
      <c r="AH208" s="101">
        <v>1.99</v>
      </c>
      <c r="AI208" s="78" t="s">
        <v>310</v>
      </c>
    </row>
    <row r="209" spans="34:35">
      <c r="AH209" s="102">
        <v>2</v>
      </c>
      <c r="AI209" s="78" t="s">
        <v>310</v>
      </c>
    </row>
    <row r="210" spans="34:35">
      <c r="AH210" s="101">
        <v>2.0099999999999998</v>
      </c>
      <c r="AI210" s="78" t="s">
        <v>310</v>
      </c>
    </row>
    <row r="211" spans="34:35">
      <c r="AH211" s="102">
        <v>2.02</v>
      </c>
      <c r="AI211" s="78" t="s">
        <v>310</v>
      </c>
    </row>
    <row r="212" spans="34:35">
      <c r="AH212" s="101">
        <v>2.0299999999999998</v>
      </c>
      <c r="AI212" s="78" t="s">
        <v>310</v>
      </c>
    </row>
    <row r="213" spans="34:35">
      <c r="AH213" s="102">
        <v>2.04</v>
      </c>
      <c r="AI213" s="78" t="s">
        <v>310</v>
      </c>
    </row>
    <row r="214" spans="34:35">
      <c r="AH214" s="101">
        <v>2.0499999999999998</v>
      </c>
      <c r="AI214" s="78" t="s">
        <v>310</v>
      </c>
    </row>
    <row r="215" spans="34:35">
      <c r="AH215" s="102">
        <v>2.06</v>
      </c>
      <c r="AI215" s="78" t="s">
        <v>310</v>
      </c>
    </row>
    <row r="216" spans="34:35">
      <c r="AH216" s="101">
        <v>2.0699999999999998</v>
      </c>
      <c r="AI216" s="78" t="s">
        <v>310</v>
      </c>
    </row>
    <row r="217" spans="34:35">
      <c r="AH217" s="102">
        <v>2.08</v>
      </c>
      <c r="AI217" s="78" t="s">
        <v>310</v>
      </c>
    </row>
    <row r="218" spans="34:35">
      <c r="AH218" s="101">
        <v>2.09</v>
      </c>
      <c r="AI218" s="78" t="s">
        <v>310</v>
      </c>
    </row>
    <row r="219" spans="34:35">
      <c r="AH219" s="102">
        <v>2.1</v>
      </c>
      <c r="AI219" s="78" t="s">
        <v>310</v>
      </c>
    </row>
    <row r="220" spans="34:35">
      <c r="AH220" s="101">
        <v>2.11</v>
      </c>
      <c r="AI220" s="78" t="s">
        <v>310</v>
      </c>
    </row>
    <row r="221" spans="34:35">
      <c r="AH221" s="102">
        <v>2.12</v>
      </c>
      <c r="AI221" s="78" t="s">
        <v>310</v>
      </c>
    </row>
    <row r="222" spans="34:35">
      <c r="AH222" s="101">
        <v>2.13</v>
      </c>
      <c r="AI222" s="78" t="s">
        <v>310</v>
      </c>
    </row>
    <row r="223" spans="34:35">
      <c r="AH223" s="102">
        <v>2.14</v>
      </c>
      <c r="AI223" s="78" t="s">
        <v>310</v>
      </c>
    </row>
    <row r="224" spans="34:35">
      <c r="AH224" s="101">
        <v>2.15</v>
      </c>
      <c r="AI224" s="78" t="s">
        <v>310</v>
      </c>
    </row>
    <row r="225" spans="34:35">
      <c r="AH225" s="102">
        <v>2.16</v>
      </c>
      <c r="AI225" s="78" t="s">
        <v>310</v>
      </c>
    </row>
    <row r="226" spans="34:35">
      <c r="AH226" s="101">
        <v>2.17</v>
      </c>
      <c r="AI226" s="78" t="s">
        <v>310</v>
      </c>
    </row>
    <row r="227" spans="34:35">
      <c r="AH227" s="102">
        <v>2.1800000000000002</v>
      </c>
      <c r="AI227" s="78" t="s">
        <v>310</v>
      </c>
    </row>
    <row r="228" spans="34:35">
      <c r="AH228" s="101">
        <v>2.19</v>
      </c>
      <c r="AI228" s="78" t="s">
        <v>310</v>
      </c>
    </row>
    <row r="229" spans="34:35">
      <c r="AH229" s="102">
        <v>2.2000000000000002</v>
      </c>
      <c r="AI229" s="78" t="s">
        <v>310</v>
      </c>
    </row>
    <row r="230" spans="34:35">
      <c r="AH230" s="101">
        <v>2.21</v>
      </c>
      <c r="AI230" s="78" t="s">
        <v>310</v>
      </c>
    </row>
    <row r="231" spans="34:35">
      <c r="AH231" s="102">
        <v>2.2200000000000002</v>
      </c>
      <c r="AI231" s="78" t="s">
        <v>310</v>
      </c>
    </row>
    <row r="232" spans="34:35">
      <c r="AH232" s="101">
        <v>2.23</v>
      </c>
      <c r="AI232" s="78" t="s">
        <v>310</v>
      </c>
    </row>
    <row r="233" spans="34:35">
      <c r="AH233" s="102">
        <v>2.2400000000000002</v>
      </c>
      <c r="AI233" s="78" t="s">
        <v>310</v>
      </c>
    </row>
    <row r="234" spans="34:35">
      <c r="AH234" s="101">
        <v>2.25</v>
      </c>
      <c r="AI234" s="78" t="s">
        <v>310</v>
      </c>
    </row>
    <row r="235" spans="34:35">
      <c r="AH235" s="102">
        <v>2.2599999999999998</v>
      </c>
      <c r="AI235" s="78" t="s">
        <v>310</v>
      </c>
    </row>
    <row r="236" spans="34:35">
      <c r="AH236" s="101">
        <v>2.27</v>
      </c>
      <c r="AI236" s="78" t="s">
        <v>310</v>
      </c>
    </row>
    <row r="237" spans="34:35">
      <c r="AH237" s="102">
        <v>2.2799999999999998</v>
      </c>
      <c r="AI237" s="78" t="s">
        <v>310</v>
      </c>
    </row>
    <row r="238" spans="34:35">
      <c r="AH238" s="101">
        <v>2.29</v>
      </c>
      <c r="AI238" s="78" t="s">
        <v>310</v>
      </c>
    </row>
    <row r="239" spans="34:35">
      <c r="AH239" s="102">
        <v>2.2999999999999998</v>
      </c>
      <c r="AI239" s="78" t="s">
        <v>310</v>
      </c>
    </row>
    <row r="240" spans="34:35">
      <c r="AH240" s="101">
        <v>2.31</v>
      </c>
      <c r="AI240" s="78" t="s">
        <v>310</v>
      </c>
    </row>
    <row r="241" spans="34:35">
      <c r="AH241" s="102">
        <v>2.3199999999999998</v>
      </c>
      <c r="AI241" s="78" t="s">
        <v>310</v>
      </c>
    </row>
    <row r="242" spans="34:35">
      <c r="AH242" s="101">
        <v>2.33</v>
      </c>
      <c r="AI242" s="78" t="s">
        <v>310</v>
      </c>
    </row>
    <row r="243" spans="34:35">
      <c r="AH243" s="102">
        <v>2.34</v>
      </c>
      <c r="AI243" s="78" t="s">
        <v>310</v>
      </c>
    </row>
    <row r="244" spans="34:35">
      <c r="AH244" s="101">
        <v>2.35</v>
      </c>
      <c r="AI244" s="78" t="s">
        <v>310</v>
      </c>
    </row>
    <row r="245" spans="34:35">
      <c r="AH245" s="102">
        <v>2.36</v>
      </c>
      <c r="AI245" s="78" t="s">
        <v>310</v>
      </c>
    </row>
    <row r="246" spans="34:35">
      <c r="AH246" s="101">
        <v>2.37</v>
      </c>
      <c r="AI246" s="78" t="s">
        <v>310</v>
      </c>
    </row>
    <row r="247" spans="34:35">
      <c r="AH247" s="102">
        <v>2.38</v>
      </c>
      <c r="AI247" s="78" t="s">
        <v>310</v>
      </c>
    </row>
    <row r="248" spans="34:35">
      <c r="AH248" s="101">
        <v>2.39</v>
      </c>
      <c r="AI248" s="78" t="s">
        <v>310</v>
      </c>
    </row>
    <row r="249" spans="34:35">
      <c r="AH249" s="102">
        <v>2.4</v>
      </c>
      <c r="AI249" s="78" t="s">
        <v>310</v>
      </c>
    </row>
    <row r="250" spans="34:35">
      <c r="AH250" s="101">
        <v>2.41</v>
      </c>
      <c r="AI250" s="78" t="s">
        <v>310</v>
      </c>
    </row>
    <row r="251" spans="34:35">
      <c r="AH251" s="102">
        <v>2.42</v>
      </c>
      <c r="AI251" s="78" t="s">
        <v>310</v>
      </c>
    </row>
    <row r="252" spans="34:35">
      <c r="AH252" s="101">
        <v>2.4300000000000002</v>
      </c>
      <c r="AI252" s="78" t="s">
        <v>310</v>
      </c>
    </row>
    <row r="253" spans="34:35">
      <c r="AH253" s="102">
        <v>2.44</v>
      </c>
      <c r="AI253" s="78" t="s">
        <v>310</v>
      </c>
    </row>
    <row r="254" spans="34:35">
      <c r="AH254" s="101">
        <v>2.4500000000000002</v>
      </c>
      <c r="AI254" s="78" t="s">
        <v>310</v>
      </c>
    </row>
    <row r="255" spans="34:35">
      <c r="AH255" s="102">
        <v>2.46</v>
      </c>
      <c r="AI255" s="78" t="s">
        <v>310</v>
      </c>
    </row>
    <row r="256" spans="34:35">
      <c r="AH256" s="101">
        <v>2.4700000000000002</v>
      </c>
      <c r="AI256" s="78" t="s">
        <v>310</v>
      </c>
    </row>
    <row r="257" spans="34:35">
      <c r="AH257" s="102">
        <v>2.48</v>
      </c>
      <c r="AI257" s="78" t="s">
        <v>310</v>
      </c>
    </row>
    <row r="258" spans="34:35">
      <c r="AH258" s="101">
        <v>2.4900000000000002</v>
      </c>
      <c r="AI258" s="78" t="s">
        <v>310</v>
      </c>
    </row>
    <row r="259" spans="34:35">
      <c r="AH259" s="102">
        <v>2.5</v>
      </c>
      <c r="AI259" s="78" t="s">
        <v>310</v>
      </c>
    </row>
    <row r="260" spans="34:35">
      <c r="AH260" s="101">
        <v>2.5099999999999998</v>
      </c>
      <c r="AI260" s="78" t="s">
        <v>310</v>
      </c>
    </row>
    <row r="261" spans="34:35">
      <c r="AH261" s="102">
        <v>2.52</v>
      </c>
      <c r="AI261" s="78" t="s">
        <v>310</v>
      </c>
    </row>
    <row r="262" spans="34:35">
      <c r="AH262" s="101">
        <v>2.5299999999999998</v>
      </c>
      <c r="AI262" s="78" t="s">
        <v>310</v>
      </c>
    </row>
    <row r="263" spans="34:35">
      <c r="AH263" s="102">
        <v>2.54</v>
      </c>
      <c r="AI263" s="78" t="s">
        <v>310</v>
      </c>
    </row>
    <row r="264" spans="34:35">
      <c r="AH264" s="101">
        <v>2.5499999999999998</v>
      </c>
      <c r="AI264" s="78" t="s">
        <v>310</v>
      </c>
    </row>
    <row r="265" spans="34:35">
      <c r="AH265" s="102">
        <v>2.56</v>
      </c>
      <c r="AI265" s="78" t="s">
        <v>310</v>
      </c>
    </row>
    <row r="266" spans="34:35">
      <c r="AH266" s="101">
        <v>2.57</v>
      </c>
      <c r="AI266" s="78" t="s">
        <v>310</v>
      </c>
    </row>
    <row r="267" spans="34:35">
      <c r="AH267" s="102">
        <v>2.58</v>
      </c>
      <c r="AI267" s="78" t="s">
        <v>310</v>
      </c>
    </row>
    <row r="268" spans="34:35">
      <c r="AH268" s="101">
        <v>2.59</v>
      </c>
      <c r="AI268" s="78" t="s">
        <v>310</v>
      </c>
    </row>
    <row r="269" spans="34:35">
      <c r="AH269" s="102">
        <v>2.6</v>
      </c>
      <c r="AI269" s="243" t="s">
        <v>311</v>
      </c>
    </row>
    <row r="270" spans="34:35">
      <c r="AH270" s="101">
        <v>2.61</v>
      </c>
      <c r="AI270" s="243" t="s">
        <v>311</v>
      </c>
    </row>
    <row r="271" spans="34:35">
      <c r="AH271" s="102">
        <v>2.62</v>
      </c>
      <c r="AI271" s="243" t="s">
        <v>311</v>
      </c>
    </row>
    <row r="272" spans="34:35">
      <c r="AH272" s="101">
        <v>2.63</v>
      </c>
      <c r="AI272" s="243" t="s">
        <v>311</v>
      </c>
    </row>
    <row r="273" spans="34:35">
      <c r="AH273" s="102">
        <v>2.64</v>
      </c>
      <c r="AI273" s="243" t="s">
        <v>311</v>
      </c>
    </row>
    <row r="274" spans="34:35">
      <c r="AH274" s="101">
        <v>2.65</v>
      </c>
      <c r="AI274" s="243" t="s">
        <v>311</v>
      </c>
    </row>
    <row r="275" spans="34:35">
      <c r="AH275" s="102">
        <v>2.66</v>
      </c>
      <c r="AI275" s="243" t="s">
        <v>311</v>
      </c>
    </row>
    <row r="276" spans="34:35">
      <c r="AH276" s="101">
        <v>2.67</v>
      </c>
      <c r="AI276" s="243" t="s">
        <v>311</v>
      </c>
    </row>
    <row r="277" spans="34:35">
      <c r="AH277" s="102">
        <v>2.68</v>
      </c>
      <c r="AI277" s="243" t="s">
        <v>311</v>
      </c>
    </row>
    <row r="278" spans="34:35">
      <c r="AH278" s="101">
        <v>2.69</v>
      </c>
      <c r="AI278" s="243" t="s">
        <v>311</v>
      </c>
    </row>
    <row r="279" spans="34:35">
      <c r="AH279" s="102">
        <v>2.7</v>
      </c>
      <c r="AI279" s="243" t="s">
        <v>311</v>
      </c>
    </row>
    <row r="280" spans="34:35">
      <c r="AH280" s="101">
        <v>2.71</v>
      </c>
      <c r="AI280" s="243" t="s">
        <v>311</v>
      </c>
    </row>
    <row r="281" spans="34:35">
      <c r="AH281" s="102">
        <v>2.72</v>
      </c>
      <c r="AI281" s="243" t="s">
        <v>311</v>
      </c>
    </row>
    <row r="282" spans="34:35">
      <c r="AH282" s="101">
        <v>2.73</v>
      </c>
      <c r="AI282" s="243" t="s">
        <v>311</v>
      </c>
    </row>
    <row r="283" spans="34:35">
      <c r="AH283" s="102">
        <v>2.74</v>
      </c>
      <c r="AI283" s="243" t="s">
        <v>311</v>
      </c>
    </row>
    <row r="284" spans="34:35">
      <c r="AH284" s="101">
        <v>2.75</v>
      </c>
      <c r="AI284" s="243" t="s">
        <v>311</v>
      </c>
    </row>
    <row r="285" spans="34:35">
      <c r="AH285" s="102">
        <v>2.76</v>
      </c>
      <c r="AI285" s="243" t="s">
        <v>311</v>
      </c>
    </row>
    <row r="286" spans="34:35">
      <c r="AH286" s="101">
        <v>2.77</v>
      </c>
      <c r="AI286" s="243" t="s">
        <v>311</v>
      </c>
    </row>
    <row r="287" spans="34:35">
      <c r="AH287" s="102">
        <v>2.78</v>
      </c>
      <c r="AI287" s="243" t="s">
        <v>311</v>
      </c>
    </row>
    <row r="288" spans="34:35">
      <c r="AH288" s="101">
        <v>2.79</v>
      </c>
      <c r="AI288" s="243" t="s">
        <v>311</v>
      </c>
    </row>
    <row r="289" spans="34:35">
      <c r="AH289" s="102">
        <v>2.8</v>
      </c>
      <c r="AI289" s="243" t="s">
        <v>311</v>
      </c>
    </row>
    <row r="290" spans="34:35">
      <c r="AH290" s="101">
        <v>2.81</v>
      </c>
      <c r="AI290" s="243" t="s">
        <v>311</v>
      </c>
    </row>
    <row r="291" spans="34:35">
      <c r="AH291" s="102">
        <v>2.82</v>
      </c>
      <c r="AI291" s="243" t="s">
        <v>311</v>
      </c>
    </row>
    <row r="292" spans="34:35">
      <c r="AH292" s="101">
        <v>2.83</v>
      </c>
      <c r="AI292" s="243" t="s">
        <v>311</v>
      </c>
    </row>
    <row r="293" spans="34:35">
      <c r="AH293" s="102">
        <v>2.84</v>
      </c>
      <c r="AI293" s="243" t="s">
        <v>311</v>
      </c>
    </row>
    <row r="294" spans="34:35">
      <c r="AH294" s="101">
        <v>2.85</v>
      </c>
      <c r="AI294" s="243" t="s">
        <v>311</v>
      </c>
    </row>
    <row r="295" spans="34:35">
      <c r="AH295" s="102">
        <v>2.86</v>
      </c>
      <c r="AI295" s="243" t="s">
        <v>311</v>
      </c>
    </row>
    <row r="296" spans="34:35">
      <c r="AH296" s="101">
        <v>2.87</v>
      </c>
      <c r="AI296" s="243" t="s">
        <v>311</v>
      </c>
    </row>
    <row r="297" spans="34:35">
      <c r="AH297" s="102">
        <v>2.88</v>
      </c>
      <c r="AI297" s="243" t="s">
        <v>311</v>
      </c>
    </row>
    <row r="298" spans="34:35">
      <c r="AH298" s="101">
        <v>2.89</v>
      </c>
      <c r="AI298" s="243" t="s">
        <v>311</v>
      </c>
    </row>
    <row r="299" spans="34:35">
      <c r="AH299" s="102">
        <v>2.9</v>
      </c>
      <c r="AI299" s="243" t="s">
        <v>311</v>
      </c>
    </row>
    <row r="300" spans="34:35">
      <c r="AH300" s="101">
        <v>2.91</v>
      </c>
      <c r="AI300" s="243" t="s">
        <v>311</v>
      </c>
    </row>
    <row r="301" spans="34:35">
      <c r="AH301" s="102">
        <v>2.92</v>
      </c>
      <c r="AI301" s="243" t="s">
        <v>311</v>
      </c>
    </row>
    <row r="302" spans="34:35">
      <c r="AH302" s="101">
        <v>2.93</v>
      </c>
      <c r="AI302" s="243" t="s">
        <v>311</v>
      </c>
    </row>
    <row r="303" spans="34:35">
      <c r="AH303" s="102">
        <v>2.94</v>
      </c>
      <c r="AI303" s="243" t="s">
        <v>311</v>
      </c>
    </row>
    <row r="304" spans="34:35">
      <c r="AH304" s="101">
        <v>2.95</v>
      </c>
      <c r="AI304" s="243" t="s">
        <v>311</v>
      </c>
    </row>
    <row r="305" spans="34:35">
      <c r="AH305" s="102">
        <v>2.96</v>
      </c>
      <c r="AI305" s="243" t="s">
        <v>311</v>
      </c>
    </row>
    <row r="306" spans="34:35">
      <c r="AH306" s="101">
        <v>2.97</v>
      </c>
      <c r="AI306" s="243" t="s">
        <v>311</v>
      </c>
    </row>
    <row r="307" spans="34:35">
      <c r="AH307" s="102">
        <v>2.98</v>
      </c>
      <c r="AI307" s="243" t="s">
        <v>311</v>
      </c>
    </row>
    <row r="308" spans="34:35">
      <c r="AH308" s="101">
        <v>2.99</v>
      </c>
      <c r="AI308" s="243" t="s">
        <v>311</v>
      </c>
    </row>
    <row r="309" spans="34:35">
      <c r="AH309" s="102">
        <v>3</v>
      </c>
      <c r="AI309" s="243" t="s">
        <v>311</v>
      </c>
    </row>
    <row r="310" spans="34:35">
      <c r="AH310" s="101">
        <v>3.01</v>
      </c>
      <c r="AI310" s="243" t="s">
        <v>311</v>
      </c>
    </row>
    <row r="311" spans="34:35">
      <c r="AH311" s="102">
        <v>3.02</v>
      </c>
      <c r="AI311" s="243" t="s">
        <v>311</v>
      </c>
    </row>
    <row r="312" spans="34:35">
      <c r="AH312" s="101">
        <v>3.03</v>
      </c>
      <c r="AI312" s="243" t="s">
        <v>311</v>
      </c>
    </row>
    <row r="313" spans="34:35">
      <c r="AH313" s="102">
        <v>3.04</v>
      </c>
      <c r="AI313" s="243" t="s">
        <v>311</v>
      </c>
    </row>
    <row r="314" spans="34:35">
      <c r="AH314" s="101">
        <v>3.05</v>
      </c>
      <c r="AI314" s="243" t="s">
        <v>311</v>
      </c>
    </row>
    <row r="315" spans="34:35">
      <c r="AH315" s="102">
        <v>3.06</v>
      </c>
      <c r="AI315" s="243" t="s">
        <v>311</v>
      </c>
    </row>
    <row r="316" spans="34:35">
      <c r="AH316" s="101">
        <v>3.07</v>
      </c>
      <c r="AI316" s="243" t="s">
        <v>311</v>
      </c>
    </row>
    <row r="317" spans="34:35">
      <c r="AH317" s="102">
        <v>3.08</v>
      </c>
      <c r="AI317" s="243" t="s">
        <v>311</v>
      </c>
    </row>
    <row r="318" spans="34:35">
      <c r="AH318" s="101">
        <v>3.09</v>
      </c>
      <c r="AI318" s="243" t="s">
        <v>311</v>
      </c>
    </row>
    <row r="319" spans="34:35">
      <c r="AH319" s="102">
        <v>3.1</v>
      </c>
      <c r="AI319" s="243" t="s">
        <v>311</v>
      </c>
    </row>
    <row r="320" spans="34:35">
      <c r="AH320" s="101">
        <v>3.11</v>
      </c>
      <c r="AI320" s="243" t="s">
        <v>311</v>
      </c>
    </row>
    <row r="321" spans="34:35">
      <c r="AH321" s="102">
        <v>3.12</v>
      </c>
      <c r="AI321" s="243" t="s">
        <v>311</v>
      </c>
    </row>
    <row r="322" spans="34:35">
      <c r="AH322" s="101">
        <v>3.13</v>
      </c>
      <c r="AI322" s="243" t="s">
        <v>311</v>
      </c>
    </row>
    <row r="323" spans="34:35">
      <c r="AH323" s="102">
        <v>3.14</v>
      </c>
      <c r="AI323" s="243" t="s">
        <v>311</v>
      </c>
    </row>
    <row r="324" spans="34:35">
      <c r="AH324" s="101">
        <v>3.15</v>
      </c>
      <c r="AI324" s="243" t="s">
        <v>311</v>
      </c>
    </row>
    <row r="325" spans="34:35">
      <c r="AH325" s="102">
        <v>3.16</v>
      </c>
      <c r="AI325" s="243" t="s">
        <v>311</v>
      </c>
    </row>
    <row r="326" spans="34:35">
      <c r="AH326" s="101">
        <v>3.17</v>
      </c>
      <c r="AI326" s="243" t="s">
        <v>311</v>
      </c>
    </row>
    <row r="327" spans="34:35">
      <c r="AH327" s="102">
        <v>3.18</v>
      </c>
      <c r="AI327" s="243" t="s">
        <v>311</v>
      </c>
    </row>
    <row r="328" spans="34:35">
      <c r="AH328" s="101">
        <v>3.19</v>
      </c>
      <c r="AI328" s="243" t="s">
        <v>311</v>
      </c>
    </row>
    <row r="329" spans="34:35">
      <c r="AH329" s="102">
        <v>3.2</v>
      </c>
      <c r="AI329" s="243" t="s">
        <v>311</v>
      </c>
    </row>
    <row r="330" spans="34:35">
      <c r="AH330" s="101">
        <v>3.21</v>
      </c>
      <c r="AI330" s="243" t="s">
        <v>311</v>
      </c>
    </row>
    <row r="331" spans="34:35">
      <c r="AH331" s="102">
        <v>3.22</v>
      </c>
      <c r="AI331" s="243" t="s">
        <v>311</v>
      </c>
    </row>
    <row r="332" spans="34:35">
      <c r="AH332" s="101">
        <v>3.23</v>
      </c>
      <c r="AI332" s="243" t="s">
        <v>311</v>
      </c>
    </row>
    <row r="333" spans="34:35">
      <c r="AH333" s="102">
        <v>3.24</v>
      </c>
      <c r="AI333" s="243" t="s">
        <v>311</v>
      </c>
    </row>
    <row r="334" spans="34:35">
      <c r="AH334" s="101">
        <v>3.25</v>
      </c>
      <c r="AI334" s="243" t="s">
        <v>311</v>
      </c>
    </row>
    <row r="335" spans="34:35">
      <c r="AH335" s="102">
        <v>3.26</v>
      </c>
      <c r="AI335" s="243" t="s">
        <v>311</v>
      </c>
    </row>
    <row r="336" spans="34:35">
      <c r="AH336" s="101">
        <v>3.27</v>
      </c>
      <c r="AI336" s="243" t="s">
        <v>311</v>
      </c>
    </row>
    <row r="337" spans="34:35">
      <c r="AH337" s="102">
        <v>3.28</v>
      </c>
      <c r="AI337" s="243" t="s">
        <v>311</v>
      </c>
    </row>
    <row r="338" spans="34:35">
      <c r="AH338" s="101">
        <v>3.29</v>
      </c>
      <c r="AI338" s="243" t="s">
        <v>311</v>
      </c>
    </row>
    <row r="339" spans="34:35">
      <c r="AH339" s="102">
        <v>3.3</v>
      </c>
      <c r="AI339" s="243" t="s">
        <v>311</v>
      </c>
    </row>
    <row r="340" spans="34:35">
      <c r="AH340" s="101">
        <v>3.31</v>
      </c>
      <c r="AI340" s="243" t="s">
        <v>311</v>
      </c>
    </row>
    <row r="341" spans="34:35">
      <c r="AH341" s="102">
        <v>3.32</v>
      </c>
      <c r="AI341" s="243" t="s">
        <v>311</v>
      </c>
    </row>
    <row r="342" spans="34:35">
      <c r="AH342" s="101">
        <v>3.33</v>
      </c>
      <c r="AI342" s="243" t="s">
        <v>311</v>
      </c>
    </row>
    <row r="343" spans="34:35">
      <c r="AH343" s="102">
        <v>3.34</v>
      </c>
      <c r="AI343" s="243" t="s">
        <v>311</v>
      </c>
    </row>
    <row r="344" spans="34:35">
      <c r="AH344" s="101">
        <v>3.35</v>
      </c>
      <c r="AI344" s="243" t="s">
        <v>311</v>
      </c>
    </row>
    <row r="345" spans="34:35">
      <c r="AH345" s="102">
        <v>3.36</v>
      </c>
      <c r="AI345" s="243" t="s">
        <v>311</v>
      </c>
    </row>
    <row r="346" spans="34:35">
      <c r="AH346" s="101">
        <v>3.37</v>
      </c>
      <c r="AI346" s="243" t="s">
        <v>311</v>
      </c>
    </row>
    <row r="347" spans="34:35">
      <c r="AH347" s="102">
        <v>3.38</v>
      </c>
      <c r="AI347" s="243" t="s">
        <v>311</v>
      </c>
    </row>
    <row r="348" spans="34:35">
      <c r="AH348" s="101">
        <v>3.39</v>
      </c>
      <c r="AI348" s="243" t="s">
        <v>311</v>
      </c>
    </row>
    <row r="349" spans="34:35">
      <c r="AH349" s="102">
        <v>3.4</v>
      </c>
      <c r="AI349" s="243" t="s">
        <v>311</v>
      </c>
    </row>
    <row r="350" spans="34:35">
      <c r="AH350" s="101">
        <v>3.41</v>
      </c>
      <c r="AI350" s="243" t="s">
        <v>311</v>
      </c>
    </row>
    <row r="351" spans="34:35">
      <c r="AH351" s="102">
        <v>3.42</v>
      </c>
      <c r="AI351" s="243" t="s">
        <v>311</v>
      </c>
    </row>
    <row r="352" spans="34:35">
      <c r="AH352" s="101">
        <v>3.43</v>
      </c>
      <c r="AI352" s="243" t="s">
        <v>311</v>
      </c>
    </row>
    <row r="353" spans="34:35">
      <c r="AH353" s="102">
        <v>3.44</v>
      </c>
      <c r="AI353" s="243" t="s">
        <v>311</v>
      </c>
    </row>
    <row r="354" spans="34:35">
      <c r="AH354" s="101">
        <v>3.45</v>
      </c>
      <c r="AI354" s="243" t="s">
        <v>311</v>
      </c>
    </row>
    <row r="355" spans="34:35">
      <c r="AH355" s="102">
        <v>3.46</v>
      </c>
      <c r="AI355" s="243" t="s">
        <v>311</v>
      </c>
    </row>
    <row r="356" spans="34:35">
      <c r="AH356" s="101">
        <v>3.47</v>
      </c>
      <c r="AI356" s="243" t="s">
        <v>311</v>
      </c>
    </row>
    <row r="357" spans="34:35">
      <c r="AH357" s="102">
        <v>3.48</v>
      </c>
      <c r="AI357" s="243" t="s">
        <v>311</v>
      </c>
    </row>
    <row r="358" spans="34:35">
      <c r="AH358" s="101">
        <v>3.49</v>
      </c>
      <c r="AI358" s="243" t="s">
        <v>311</v>
      </c>
    </row>
    <row r="359" spans="34:35">
      <c r="AH359" s="102">
        <v>3.5</v>
      </c>
      <c r="AI359" s="243" t="s">
        <v>311</v>
      </c>
    </row>
    <row r="360" spans="34:35">
      <c r="AH360" s="101">
        <v>3.51</v>
      </c>
      <c r="AI360" s="243" t="s">
        <v>311</v>
      </c>
    </row>
    <row r="361" spans="34:35">
      <c r="AH361" s="102">
        <v>3.52</v>
      </c>
      <c r="AI361" s="243" t="s">
        <v>311</v>
      </c>
    </row>
    <row r="362" spans="34:35">
      <c r="AH362" s="101">
        <v>3.53</v>
      </c>
      <c r="AI362" s="243" t="s">
        <v>311</v>
      </c>
    </row>
    <row r="363" spans="34:35">
      <c r="AH363" s="102">
        <v>3.54</v>
      </c>
      <c r="AI363" s="243" t="s">
        <v>311</v>
      </c>
    </row>
    <row r="364" spans="34:35">
      <c r="AH364" s="101">
        <v>3.55</v>
      </c>
      <c r="AI364" s="243" t="s">
        <v>311</v>
      </c>
    </row>
    <row r="365" spans="34:35">
      <c r="AH365" s="102">
        <v>3.56</v>
      </c>
      <c r="AI365" s="243" t="s">
        <v>311</v>
      </c>
    </row>
    <row r="366" spans="34:35">
      <c r="AH366" s="101">
        <v>3.57</v>
      </c>
      <c r="AI366" s="243" t="s">
        <v>311</v>
      </c>
    </row>
    <row r="367" spans="34:35">
      <c r="AH367" s="102">
        <v>3.58</v>
      </c>
      <c r="AI367" s="243" t="s">
        <v>311</v>
      </c>
    </row>
    <row r="368" spans="34:35">
      <c r="AH368" s="101">
        <v>3.59</v>
      </c>
      <c r="AI368" s="243" t="s">
        <v>311</v>
      </c>
    </row>
    <row r="369" spans="34:35">
      <c r="AH369" s="102">
        <v>3.6</v>
      </c>
      <c r="AI369" s="243" t="s">
        <v>311</v>
      </c>
    </row>
    <row r="370" spans="34:35">
      <c r="AH370" s="101">
        <v>3.61</v>
      </c>
      <c r="AI370" s="243" t="s">
        <v>311</v>
      </c>
    </row>
    <row r="371" spans="34:35">
      <c r="AH371" s="102">
        <v>3.62</v>
      </c>
      <c r="AI371" s="243" t="s">
        <v>311</v>
      </c>
    </row>
    <row r="372" spans="34:35">
      <c r="AH372" s="101">
        <v>3.63</v>
      </c>
      <c r="AI372" s="243" t="s">
        <v>311</v>
      </c>
    </row>
    <row r="373" spans="34:35">
      <c r="AH373" s="102">
        <v>3.64</v>
      </c>
      <c r="AI373" s="243" t="s">
        <v>311</v>
      </c>
    </row>
    <row r="374" spans="34:35">
      <c r="AH374" s="101">
        <v>3.65</v>
      </c>
      <c r="AI374" s="243" t="s">
        <v>311</v>
      </c>
    </row>
    <row r="375" spans="34:35">
      <c r="AH375" s="102">
        <v>3.66</v>
      </c>
      <c r="AI375" s="243" t="s">
        <v>311</v>
      </c>
    </row>
    <row r="376" spans="34:35">
      <c r="AH376" s="101">
        <v>3.67</v>
      </c>
      <c r="AI376" s="243" t="s">
        <v>311</v>
      </c>
    </row>
    <row r="377" spans="34:35">
      <c r="AH377" s="102">
        <v>3.68</v>
      </c>
      <c r="AI377" s="243" t="s">
        <v>311</v>
      </c>
    </row>
    <row r="378" spans="34:35">
      <c r="AH378" s="101">
        <v>3.69</v>
      </c>
      <c r="AI378" s="243" t="s">
        <v>311</v>
      </c>
    </row>
    <row r="379" spans="34:35">
      <c r="AH379" s="102">
        <v>3.7</v>
      </c>
      <c r="AI379" s="243" t="s">
        <v>311</v>
      </c>
    </row>
    <row r="380" spans="34:35">
      <c r="AH380" s="101">
        <v>3.71</v>
      </c>
      <c r="AI380" s="243" t="s">
        <v>311</v>
      </c>
    </row>
    <row r="381" spans="34:35">
      <c r="AH381" s="102">
        <v>3.72</v>
      </c>
      <c r="AI381" s="243" t="s">
        <v>311</v>
      </c>
    </row>
    <row r="382" spans="34:35">
      <c r="AH382" s="101">
        <v>3.73</v>
      </c>
      <c r="AI382" s="243" t="s">
        <v>311</v>
      </c>
    </row>
    <row r="383" spans="34:35">
      <c r="AH383" s="102">
        <v>3.74</v>
      </c>
      <c r="AI383" s="243" t="s">
        <v>311</v>
      </c>
    </row>
    <row r="384" spans="34:35">
      <c r="AH384" s="101">
        <v>3.75</v>
      </c>
      <c r="AI384" s="243" t="s">
        <v>311</v>
      </c>
    </row>
    <row r="385" spans="34:35">
      <c r="AH385" s="102">
        <v>3.76</v>
      </c>
      <c r="AI385" s="243" t="s">
        <v>311</v>
      </c>
    </row>
    <row r="386" spans="34:35">
      <c r="AH386" s="101">
        <v>3.77</v>
      </c>
      <c r="AI386" s="243" t="s">
        <v>311</v>
      </c>
    </row>
    <row r="387" spans="34:35">
      <c r="AH387" s="102">
        <v>3.78</v>
      </c>
      <c r="AI387" s="243" t="s">
        <v>311</v>
      </c>
    </row>
    <row r="388" spans="34:35">
      <c r="AH388" s="101">
        <v>3.79</v>
      </c>
      <c r="AI388" s="243" t="s">
        <v>311</v>
      </c>
    </row>
    <row r="389" spans="34:35">
      <c r="AH389" s="102">
        <v>3.8</v>
      </c>
      <c r="AI389" s="243" t="s">
        <v>311</v>
      </c>
    </row>
    <row r="390" spans="34:35">
      <c r="AH390" s="101">
        <v>3.81</v>
      </c>
      <c r="AI390" s="243" t="s">
        <v>311</v>
      </c>
    </row>
    <row r="391" spans="34:35">
      <c r="AH391" s="102">
        <v>3.82</v>
      </c>
      <c r="AI391" s="243" t="s">
        <v>311</v>
      </c>
    </row>
    <row r="392" spans="34:35">
      <c r="AH392" s="101">
        <v>3.83</v>
      </c>
      <c r="AI392" s="243" t="s">
        <v>311</v>
      </c>
    </row>
    <row r="393" spans="34:35">
      <c r="AH393" s="102">
        <v>3.84</v>
      </c>
      <c r="AI393" s="243" t="s">
        <v>311</v>
      </c>
    </row>
    <row r="394" spans="34:35">
      <c r="AH394" s="101">
        <v>3.85</v>
      </c>
      <c r="AI394" s="243" t="s">
        <v>311</v>
      </c>
    </row>
    <row r="395" spans="34:35">
      <c r="AH395" s="102">
        <v>3.86</v>
      </c>
      <c r="AI395" s="243" t="s">
        <v>311</v>
      </c>
    </row>
    <row r="396" spans="34:35">
      <c r="AH396" s="101">
        <v>3.87</v>
      </c>
      <c r="AI396" s="243" t="s">
        <v>311</v>
      </c>
    </row>
    <row r="397" spans="34:35">
      <c r="AH397" s="102">
        <v>3.88</v>
      </c>
      <c r="AI397" s="243" t="s">
        <v>311</v>
      </c>
    </row>
    <row r="398" spans="34:35">
      <c r="AH398" s="101">
        <v>3.89</v>
      </c>
      <c r="AI398" s="243" t="s">
        <v>311</v>
      </c>
    </row>
    <row r="399" spans="34:35">
      <c r="AH399" s="102">
        <v>3.9</v>
      </c>
      <c r="AI399" s="243" t="s">
        <v>311</v>
      </c>
    </row>
    <row r="400" spans="34:35">
      <c r="AH400" s="101">
        <v>3.91</v>
      </c>
      <c r="AI400" s="243" t="s">
        <v>311</v>
      </c>
    </row>
    <row r="401" spans="34:35">
      <c r="AH401" s="102">
        <v>3.92</v>
      </c>
      <c r="AI401" s="243" t="s">
        <v>311</v>
      </c>
    </row>
    <row r="402" spans="34:35">
      <c r="AH402" s="101">
        <v>3.93</v>
      </c>
      <c r="AI402" s="243" t="s">
        <v>311</v>
      </c>
    </row>
    <row r="403" spans="34:35">
      <c r="AH403" s="102">
        <v>3.94</v>
      </c>
      <c r="AI403" s="243" t="s">
        <v>311</v>
      </c>
    </row>
    <row r="404" spans="34:35">
      <c r="AH404" s="101">
        <v>3.95</v>
      </c>
      <c r="AI404" s="243" t="s">
        <v>311</v>
      </c>
    </row>
    <row r="405" spans="34:35">
      <c r="AH405" s="102">
        <v>3.96</v>
      </c>
      <c r="AI405" s="243" t="s">
        <v>311</v>
      </c>
    </row>
    <row r="406" spans="34:35">
      <c r="AH406" s="101">
        <v>3.97</v>
      </c>
      <c r="AI406" s="243" t="s">
        <v>311</v>
      </c>
    </row>
    <row r="407" spans="34:35">
      <c r="AH407" s="102">
        <v>3.98</v>
      </c>
      <c r="AI407" s="243" t="s">
        <v>311</v>
      </c>
    </row>
    <row r="408" spans="34:35">
      <c r="AH408" s="101">
        <v>3.99</v>
      </c>
      <c r="AI408" s="243" t="s">
        <v>311</v>
      </c>
    </row>
    <row r="409" spans="34:35">
      <c r="AH409" s="102">
        <v>4</v>
      </c>
      <c r="AI409" s="243" t="s">
        <v>311</v>
      </c>
    </row>
    <row r="410" spans="34:35">
      <c r="AH410" s="101">
        <v>4.01</v>
      </c>
      <c r="AI410" s="243" t="s">
        <v>311</v>
      </c>
    </row>
    <row r="411" spans="34:35">
      <c r="AH411" s="102">
        <v>4.0199999999999996</v>
      </c>
      <c r="AI411" s="243" t="s">
        <v>311</v>
      </c>
    </row>
    <row r="412" spans="34:35">
      <c r="AH412" s="101">
        <v>4.03</v>
      </c>
      <c r="AI412" s="243" t="s">
        <v>311</v>
      </c>
    </row>
    <row r="413" spans="34:35">
      <c r="AH413" s="102">
        <v>4.04</v>
      </c>
      <c r="AI413" s="243" t="s">
        <v>311</v>
      </c>
    </row>
    <row r="414" spans="34:35">
      <c r="AH414" s="101">
        <v>4.05</v>
      </c>
      <c r="AI414" s="243" t="s">
        <v>311</v>
      </c>
    </row>
    <row r="415" spans="34:35">
      <c r="AH415" s="102">
        <v>4.0599999999999996</v>
      </c>
      <c r="AI415" s="243" t="s">
        <v>311</v>
      </c>
    </row>
    <row r="416" spans="34:35">
      <c r="AH416" s="101">
        <v>4.07</v>
      </c>
      <c r="AI416" s="243" t="s">
        <v>311</v>
      </c>
    </row>
    <row r="417" spans="34:35">
      <c r="AH417" s="102">
        <v>4.08</v>
      </c>
      <c r="AI417" s="243" t="s">
        <v>311</v>
      </c>
    </row>
    <row r="418" spans="34:35">
      <c r="AH418" s="101">
        <v>4.09</v>
      </c>
      <c r="AI418" s="243" t="s">
        <v>311</v>
      </c>
    </row>
    <row r="419" spans="34:35">
      <c r="AH419" s="102">
        <v>4.0999999999999996</v>
      </c>
      <c r="AI419" s="243" t="s">
        <v>311</v>
      </c>
    </row>
    <row r="420" spans="34:35">
      <c r="AH420" s="101">
        <v>4.1100000000000003</v>
      </c>
      <c r="AI420" s="243" t="s">
        <v>311</v>
      </c>
    </row>
    <row r="421" spans="34:35">
      <c r="AH421" s="102">
        <v>4.12</v>
      </c>
      <c r="AI421" s="243" t="s">
        <v>311</v>
      </c>
    </row>
    <row r="422" spans="34:35">
      <c r="AH422" s="101">
        <v>4.13</v>
      </c>
      <c r="AI422" s="243" t="s">
        <v>311</v>
      </c>
    </row>
    <row r="423" spans="34:35">
      <c r="AH423" s="102">
        <v>4.1399999999999997</v>
      </c>
      <c r="AI423" s="243" t="s">
        <v>311</v>
      </c>
    </row>
    <row r="424" spans="34:35">
      <c r="AH424" s="101">
        <v>4.1500000000000004</v>
      </c>
      <c r="AI424" s="243" t="s">
        <v>311</v>
      </c>
    </row>
    <row r="425" spans="34:35">
      <c r="AH425" s="102">
        <v>4.16</v>
      </c>
      <c r="AI425" s="243" t="s">
        <v>311</v>
      </c>
    </row>
    <row r="426" spans="34:35">
      <c r="AH426" s="101">
        <v>4.17</v>
      </c>
      <c r="AI426" s="243" t="s">
        <v>311</v>
      </c>
    </row>
    <row r="427" spans="34:35">
      <c r="AH427" s="102">
        <v>4.18</v>
      </c>
      <c r="AI427" s="243" t="s">
        <v>311</v>
      </c>
    </row>
    <row r="428" spans="34:35">
      <c r="AH428" s="101">
        <v>4.1900000000000004</v>
      </c>
      <c r="AI428" s="243" t="s">
        <v>311</v>
      </c>
    </row>
    <row r="429" spans="34:35">
      <c r="AH429" s="102">
        <v>4.2</v>
      </c>
      <c r="AI429" s="243" t="s">
        <v>311</v>
      </c>
    </row>
    <row r="430" spans="34:35">
      <c r="AH430" s="101">
        <v>4.21</v>
      </c>
      <c r="AI430" s="243" t="s">
        <v>311</v>
      </c>
    </row>
    <row r="431" spans="34:35">
      <c r="AH431" s="102">
        <v>4.22</v>
      </c>
      <c r="AI431" s="243" t="s">
        <v>311</v>
      </c>
    </row>
    <row r="432" spans="34:35">
      <c r="AH432" s="101">
        <v>4.2300000000000004</v>
      </c>
      <c r="AI432" s="243" t="s">
        <v>311</v>
      </c>
    </row>
    <row r="433" spans="34:35">
      <c r="AH433" s="102">
        <v>4.24</v>
      </c>
      <c r="AI433" s="243" t="s">
        <v>311</v>
      </c>
    </row>
    <row r="434" spans="34:35">
      <c r="AH434" s="101">
        <v>4.25</v>
      </c>
      <c r="AI434" s="243" t="s">
        <v>311</v>
      </c>
    </row>
    <row r="435" spans="34:35">
      <c r="AH435" s="102">
        <v>4.26</v>
      </c>
      <c r="AI435" s="243" t="s">
        <v>311</v>
      </c>
    </row>
    <row r="436" spans="34:35">
      <c r="AH436" s="101">
        <v>4.2699999999999996</v>
      </c>
      <c r="AI436" s="243" t="s">
        <v>311</v>
      </c>
    </row>
    <row r="437" spans="34:35">
      <c r="AH437" s="102">
        <v>4.28</v>
      </c>
      <c r="AI437" s="243" t="s">
        <v>311</v>
      </c>
    </row>
    <row r="438" spans="34:35">
      <c r="AH438" s="101">
        <v>4.29</v>
      </c>
      <c r="AI438" s="243" t="s">
        <v>311</v>
      </c>
    </row>
    <row r="439" spans="34:35">
      <c r="AH439" s="102">
        <v>4.3</v>
      </c>
      <c r="AI439" s="243" t="s">
        <v>311</v>
      </c>
    </row>
    <row r="440" spans="34:35">
      <c r="AH440" s="101">
        <v>4.3099999999999996</v>
      </c>
      <c r="AI440" s="243" t="s">
        <v>311</v>
      </c>
    </row>
    <row r="441" spans="34:35">
      <c r="AH441" s="102">
        <v>4.32</v>
      </c>
      <c r="AI441" s="243" t="s">
        <v>311</v>
      </c>
    </row>
    <row r="442" spans="34:35">
      <c r="AH442" s="101">
        <v>4.33</v>
      </c>
      <c r="AI442" s="243" t="s">
        <v>311</v>
      </c>
    </row>
    <row r="443" spans="34:35">
      <c r="AH443" s="102">
        <v>4.34</v>
      </c>
      <c r="AI443" s="243" t="s">
        <v>311</v>
      </c>
    </row>
    <row r="444" spans="34:35">
      <c r="AH444" s="101">
        <v>4.3499999999999996</v>
      </c>
      <c r="AI444" s="243" t="s">
        <v>311</v>
      </c>
    </row>
    <row r="445" spans="34:35">
      <c r="AH445" s="102">
        <v>4.3600000000000003</v>
      </c>
      <c r="AI445" s="243" t="s">
        <v>311</v>
      </c>
    </row>
    <row r="446" spans="34:35">
      <c r="AH446" s="101">
        <v>4.37</v>
      </c>
      <c r="AI446" s="243" t="s">
        <v>311</v>
      </c>
    </row>
    <row r="447" spans="34:35">
      <c r="AH447" s="102">
        <v>4.38</v>
      </c>
      <c r="AI447" s="243" t="s">
        <v>311</v>
      </c>
    </row>
    <row r="448" spans="34:35">
      <c r="AH448" s="101">
        <v>4.3899999999999997</v>
      </c>
      <c r="AI448" s="243" t="s">
        <v>311</v>
      </c>
    </row>
    <row r="449" spans="34:35">
      <c r="AH449" s="102">
        <v>4.4000000000000004</v>
      </c>
      <c r="AI449" s="243" t="s">
        <v>311</v>
      </c>
    </row>
    <row r="450" spans="34:35">
      <c r="AH450" s="101">
        <v>4.41</v>
      </c>
      <c r="AI450" s="243" t="s">
        <v>311</v>
      </c>
    </row>
    <row r="451" spans="34:35">
      <c r="AH451" s="102">
        <v>4.42</v>
      </c>
      <c r="AI451" s="243" t="s">
        <v>311</v>
      </c>
    </row>
    <row r="452" spans="34:35">
      <c r="AH452" s="101">
        <v>4.43</v>
      </c>
      <c r="AI452" s="243" t="s">
        <v>311</v>
      </c>
    </row>
    <row r="453" spans="34:35">
      <c r="AH453" s="102">
        <v>4.4400000000000004</v>
      </c>
      <c r="AI453" s="243" t="s">
        <v>311</v>
      </c>
    </row>
    <row r="454" spans="34:35">
      <c r="AH454" s="101">
        <v>4.45</v>
      </c>
      <c r="AI454" s="243" t="s">
        <v>311</v>
      </c>
    </row>
    <row r="455" spans="34:35">
      <c r="AH455" s="102">
        <v>4.46</v>
      </c>
      <c r="AI455" s="243" t="s">
        <v>311</v>
      </c>
    </row>
    <row r="456" spans="34:35">
      <c r="AH456" s="101">
        <v>4.47</v>
      </c>
      <c r="AI456" s="243" t="s">
        <v>311</v>
      </c>
    </row>
    <row r="457" spans="34:35">
      <c r="AH457" s="102">
        <v>4.4800000000000004</v>
      </c>
      <c r="AI457" s="243" t="s">
        <v>311</v>
      </c>
    </row>
    <row r="458" spans="34:35">
      <c r="AH458" s="101">
        <v>4.49</v>
      </c>
      <c r="AI458" s="243" t="s">
        <v>311</v>
      </c>
    </row>
    <row r="459" spans="34:35">
      <c r="AH459" s="102">
        <v>4.5</v>
      </c>
      <c r="AI459" s="243" t="s">
        <v>311</v>
      </c>
    </row>
    <row r="460" spans="34:35">
      <c r="AH460" s="101">
        <v>4.51</v>
      </c>
      <c r="AI460" s="243" t="s">
        <v>311</v>
      </c>
    </row>
    <row r="461" spans="34:35">
      <c r="AH461" s="102">
        <v>4.5199999999999996</v>
      </c>
      <c r="AI461" s="243" t="s">
        <v>311</v>
      </c>
    </row>
    <row r="462" spans="34:35">
      <c r="AH462" s="101">
        <v>4.53</v>
      </c>
      <c r="AI462" s="243" t="s">
        <v>311</v>
      </c>
    </row>
    <row r="463" spans="34:35">
      <c r="AH463" s="102">
        <v>4.54</v>
      </c>
      <c r="AI463" s="243" t="s">
        <v>311</v>
      </c>
    </row>
    <row r="464" spans="34:35">
      <c r="AH464" s="101">
        <v>4.55</v>
      </c>
      <c r="AI464" s="243" t="s">
        <v>311</v>
      </c>
    </row>
    <row r="465" spans="34:35">
      <c r="AH465" s="102">
        <v>4.5599999999999996</v>
      </c>
      <c r="AI465" s="243" t="s">
        <v>311</v>
      </c>
    </row>
    <row r="466" spans="34:35">
      <c r="AH466" s="101">
        <v>4.57</v>
      </c>
      <c r="AI466" s="243" t="s">
        <v>311</v>
      </c>
    </row>
    <row r="467" spans="34:35">
      <c r="AH467" s="102">
        <v>4.58</v>
      </c>
      <c r="AI467" s="243" t="s">
        <v>311</v>
      </c>
    </row>
    <row r="468" spans="34:35">
      <c r="AH468" s="101">
        <v>4.59</v>
      </c>
      <c r="AI468" s="243" t="s">
        <v>311</v>
      </c>
    </row>
    <row r="469" spans="34:35">
      <c r="AH469" s="102">
        <v>4.5999999999999996</v>
      </c>
      <c r="AI469" s="243" t="s">
        <v>311</v>
      </c>
    </row>
    <row r="470" spans="34:35">
      <c r="AH470" s="101">
        <v>4.6100000000000003</v>
      </c>
      <c r="AI470" s="243" t="s">
        <v>311</v>
      </c>
    </row>
    <row r="471" spans="34:35">
      <c r="AH471" s="102">
        <v>4.62</v>
      </c>
      <c r="AI471" s="243" t="s">
        <v>311</v>
      </c>
    </row>
    <row r="472" spans="34:35">
      <c r="AH472" s="101">
        <v>4.63</v>
      </c>
      <c r="AI472" s="243" t="s">
        <v>311</v>
      </c>
    </row>
    <row r="473" spans="34:35">
      <c r="AH473" s="102">
        <v>4.6399999999999997</v>
      </c>
      <c r="AI473" s="243" t="s">
        <v>311</v>
      </c>
    </row>
    <row r="474" spans="34:35">
      <c r="AH474" s="101">
        <v>4.6500000000000004</v>
      </c>
      <c r="AI474" s="243" t="s">
        <v>311</v>
      </c>
    </row>
    <row r="475" spans="34:35">
      <c r="AH475" s="102">
        <v>4.66</v>
      </c>
      <c r="AI475" s="243" t="s">
        <v>311</v>
      </c>
    </row>
    <row r="476" spans="34:35">
      <c r="AH476" s="101">
        <v>4.67</v>
      </c>
      <c r="AI476" s="243" t="s">
        <v>311</v>
      </c>
    </row>
    <row r="477" spans="34:35">
      <c r="AH477" s="102">
        <v>4.68</v>
      </c>
      <c r="AI477" s="243" t="s">
        <v>311</v>
      </c>
    </row>
    <row r="478" spans="34:35">
      <c r="AH478" s="101">
        <v>4.6900000000000004</v>
      </c>
      <c r="AI478" s="243" t="s">
        <v>311</v>
      </c>
    </row>
    <row r="479" spans="34:35">
      <c r="AH479" s="102">
        <v>4.7</v>
      </c>
      <c r="AI479" s="243" t="s">
        <v>311</v>
      </c>
    </row>
    <row r="480" spans="34:35">
      <c r="AH480" s="101">
        <v>4.71</v>
      </c>
      <c r="AI480" s="243" t="s">
        <v>311</v>
      </c>
    </row>
    <row r="481" spans="34:35">
      <c r="AH481" s="102">
        <v>4.72</v>
      </c>
      <c r="AI481" s="243" t="s">
        <v>311</v>
      </c>
    </row>
    <row r="482" spans="34:35">
      <c r="AH482" s="101">
        <v>4.7300000000000004</v>
      </c>
      <c r="AI482" s="243" t="s">
        <v>311</v>
      </c>
    </row>
    <row r="483" spans="34:35">
      <c r="AH483" s="102">
        <v>4.74</v>
      </c>
      <c r="AI483" s="243" t="s">
        <v>311</v>
      </c>
    </row>
    <row r="484" spans="34:35">
      <c r="AH484" s="101">
        <v>4.75</v>
      </c>
      <c r="AI484" s="243" t="s">
        <v>311</v>
      </c>
    </row>
    <row r="485" spans="34:35">
      <c r="AH485" s="102">
        <v>4.76</v>
      </c>
      <c r="AI485" s="243" t="s">
        <v>311</v>
      </c>
    </row>
    <row r="486" spans="34:35">
      <c r="AH486" s="101">
        <v>4.7699999999999996</v>
      </c>
      <c r="AI486" s="243" t="s">
        <v>311</v>
      </c>
    </row>
    <row r="487" spans="34:35">
      <c r="AH487" s="102">
        <v>4.78</v>
      </c>
      <c r="AI487" s="243" t="s">
        <v>311</v>
      </c>
    </row>
    <row r="488" spans="34:35">
      <c r="AH488" s="101">
        <v>4.79</v>
      </c>
      <c r="AI488" s="243" t="s">
        <v>311</v>
      </c>
    </row>
    <row r="489" spans="34:35">
      <c r="AH489" s="102">
        <v>4.8</v>
      </c>
      <c r="AI489" s="243" t="s">
        <v>311</v>
      </c>
    </row>
    <row r="490" spans="34:35">
      <c r="AH490" s="101">
        <v>4.8099999999999996</v>
      </c>
      <c r="AI490" s="243" t="s">
        <v>311</v>
      </c>
    </row>
    <row r="491" spans="34:35">
      <c r="AH491" s="102">
        <v>4.82</v>
      </c>
      <c r="AI491" s="243" t="s">
        <v>311</v>
      </c>
    </row>
    <row r="492" spans="34:35">
      <c r="AH492" s="101">
        <v>4.83</v>
      </c>
      <c r="AI492" s="243" t="s">
        <v>311</v>
      </c>
    </row>
    <row r="493" spans="34:35">
      <c r="AH493" s="102">
        <v>4.84</v>
      </c>
      <c r="AI493" s="243" t="s">
        <v>311</v>
      </c>
    </row>
    <row r="494" spans="34:35">
      <c r="AH494" s="101">
        <v>4.8499999999999996</v>
      </c>
      <c r="AI494" s="243" t="s">
        <v>311</v>
      </c>
    </row>
    <row r="495" spans="34:35">
      <c r="AH495" s="102">
        <v>4.8600000000000003</v>
      </c>
      <c r="AI495" s="243" t="s">
        <v>311</v>
      </c>
    </row>
    <row r="496" spans="34:35">
      <c r="AH496" s="101">
        <v>4.87</v>
      </c>
      <c r="AI496" s="243" t="s">
        <v>311</v>
      </c>
    </row>
    <row r="497" spans="34:35">
      <c r="AH497" s="102">
        <v>4.88</v>
      </c>
      <c r="AI497" s="243" t="s">
        <v>311</v>
      </c>
    </row>
    <row r="498" spans="34:35">
      <c r="AH498" s="101">
        <v>4.8899999999999997</v>
      </c>
      <c r="AI498" s="243" t="s">
        <v>311</v>
      </c>
    </row>
    <row r="499" spans="34:35">
      <c r="AH499" s="102">
        <v>4.9000000000000004</v>
      </c>
      <c r="AI499" s="243" t="s">
        <v>311</v>
      </c>
    </row>
    <row r="500" spans="34:35">
      <c r="AH500" s="101">
        <v>4.91</v>
      </c>
      <c r="AI500" s="243" t="s">
        <v>311</v>
      </c>
    </row>
    <row r="501" spans="34:35">
      <c r="AH501" s="102">
        <v>4.92</v>
      </c>
      <c r="AI501" s="243" t="s">
        <v>311</v>
      </c>
    </row>
    <row r="502" spans="34:35">
      <c r="AH502" s="101">
        <v>4.93</v>
      </c>
      <c r="AI502" s="243" t="s">
        <v>311</v>
      </c>
    </row>
    <row r="503" spans="34:35">
      <c r="AH503" s="102">
        <v>4.9400000000000004</v>
      </c>
      <c r="AI503" s="243" t="s">
        <v>311</v>
      </c>
    </row>
    <row r="504" spans="34:35">
      <c r="AH504" s="101">
        <v>4.95</v>
      </c>
      <c r="AI504" s="243" t="s">
        <v>311</v>
      </c>
    </row>
    <row r="505" spans="34:35">
      <c r="AH505" s="102">
        <v>4.96</v>
      </c>
      <c r="AI505" s="243" t="s">
        <v>311</v>
      </c>
    </row>
    <row r="506" spans="34:35">
      <c r="AH506" s="101">
        <v>4.97</v>
      </c>
      <c r="AI506" s="243" t="s">
        <v>311</v>
      </c>
    </row>
    <row r="507" spans="34:35">
      <c r="AH507" s="102">
        <v>4.9800000000000004</v>
      </c>
      <c r="AI507" s="243" t="s">
        <v>311</v>
      </c>
    </row>
    <row r="508" spans="34:35">
      <c r="AH508" s="101">
        <v>4.99</v>
      </c>
      <c r="AI508" s="243" t="s">
        <v>311</v>
      </c>
    </row>
    <row r="509" spans="34:35" ht="15.75" thickBot="1">
      <c r="AH509" s="244">
        <v>5</v>
      </c>
      <c r="AI509" s="245" t="s">
        <v>311</v>
      </c>
    </row>
  </sheetData>
  <mergeCells count="40">
    <mergeCell ref="A72:A73"/>
    <mergeCell ref="A66:A67"/>
    <mergeCell ref="A56:A59"/>
    <mergeCell ref="A60:A63"/>
    <mergeCell ref="A126:J126"/>
    <mergeCell ref="A110:J110"/>
    <mergeCell ref="A93:A94"/>
    <mergeCell ref="A76:A77"/>
    <mergeCell ref="A79:A80"/>
    <mergeCell ref="A81:A82"/>
    <mergeCell ref="A83:A84"/>
    <mergeCell ref="A85:A86"/>
    <mergeCell ref="A96:J96"/>
    <mergeCell ref="A6:A7"/>
    <mergeCell ref="A8:A9"/>
    <mergeCell ref="A27:A28"/>
    <mergeCell ref="A25:A26"/>
    <mergeCell ref="A74:A75"/>
    <mergeCell ref="A36:A37"/>
    <mergeCell ref="A38:A39"/>
    <mergeCell ref="A40:A41"/>
    <mergeCell ref="A42:A43"/>
    <mergeCell ref="A44:A45"/>
    <mergeCell ref="A46:A47"/>
    <mergeCell ref="A49:A50"/>
    <mergeCell ref="A51:A52"/>
    <mergeCell ref="A64:A65"/>
    <mergeCell ref="A68:A69"/>
    <mergeCell ref="A70:A71"/>
    <mergeCell ref="A53:A54"/>
    <mergeCell ref="A10:A11"/>
    <mergeCell ref="A16:A17"/>
    <mergeCell ref="A19:A20"/>
    <mergeCell ref="A21:A22"/>
    <mergeCell ref="A23:A24"/>
    <mergeCell ref="A12:A13"/>
    <mergeCell ref="A14:A15"/>
    <mergeCell ref="A30:A31"/>
    <mergeCell ref="A32:A33"/>
    <mergeCell ref="A34:A35"/>
  </mergeCells>
  <hyperlinks>
    <hyperlink ref="A122" r:id="rId1"/>
  </hyperlinks>
  <pageMargins left="0.7" right="0.7" top="0.75" bottom="0.75" header="0.3" footer="0.3"/>
  <pageSetup orientation="portrait" horizontalDpi="4294967292" r:id="rId2"/>
  <ignoredErrors>
    <ignoredError sqref="C58:F60 C62:F62 D61:F61 G58:I60" formula="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18"/>
  <sheetViews>
    <sheetView showGridLines="0" zoomScaleNormal="100" workbookViewId="0">
      <pane xSplit="1" ySplit="1" topLeftCell="B2" activePane="bottomRight" state="frozen"/>
      <selection pane="topRight" activeCell="B1" sqref="B1"/>
      <selection pane="bottomLeft" activeCell="A2" sqref="A2"/>
      <selection pane="bottomRight" activeCell="L21" sqref="L21"/>
    </sheetView>
  </sheetViews>
  <sheetFormatPr baseColWidth="10" defaultRowHeight="15"/>
  <cols>
    <col min="1" max="1" width="24.140625" style="64" customWidth="1"/>
    <col min="2" max="5" width="10.85546875" style="64" customWidth="1"/>
    <col min="6" max="6" width="10.28515625" style="64" customWidth="1"/>
    <col min="7" max="7" width="11.42578125" style="64"/>
    <col min="8" max="9" width="12" style="64" customWidth="1"/>
    <col min="10" max="16384" width="11.42578125" style="64"/>
  </cols>
  <sheetData>
    <row r="1" spans="1:9" ht="15.75" thickTop="1">
      <c r="A1" s="282"/>
      <c r="B1" s="809">
        <f>+'Anexo 4 - FCL'!B1</f>
        <v>2007</v>
      </c>
      <c r="C1" s="809">
        <f>+'Anexo 4 - FCL'!C1</f>
        <v>2008</v>
      </c>
      <c r="D1" s="809">
        <f>+'Anexo 4 - FCL'!D1</f>
        <v>2009</v>
      </c>
      <c r="E1" s="809">
        <f>+'Anexo 4 - FCL'!E1</f>
        <v>2010</v>
      </c>
      <c r="F1" s="809">
        <f>+'Anexo 4 - FCL'!F1</f>
        <v>2011</v>
      </c>
      <c r="G1" s="809">
        <f>+'Anexo 4 - FCL'!G1</f>
        <v>2012</v>
      </c>
      <c r="H1" s="809">
        <f>+'Anexo 4 - FCL'!H1</f>
        <v>2013</v>
      </c>
      <c r="I1" s="809">
        <f>+'Anexo 4 - FCL'!I1</f>
        <v>2014</v>
      </c>
    </row>
    <row r="2" spans="1:9">
      <c r="A2" s="284" t="s">
        <v>54</v>
      </c>
      <c r="B2" s="273">
        <f>+'Anexo 4 - FCL'!B2*(1-'Anexo 4 - FCL'!$K$1)</f>
        <v>9875.9762099999989</v>
      </c>
      <c r="C2" s="273">
        <f>+'Anexo 4 - FCL'!C2*(1-'Anexo 4 - FCL'!$K$1)</f>
        <v>13872.18786</v>
      </c>
      <c r="D2" s="273">
        <f>+'Anexo 4 - FCL'!D2*(1-'Anexo 4 - FCL'!$K$1)</f>
        <v>13578.102749999998</v>
      </c>
      <c r="E2" s="273">
        <f>+'Anexo 4 - FCL'!E2*(1-'Anexo 4 - FCL'!$K$1)</f>
        <v>15862.389359999997</v>
      </c>
      <c r="F2" s="273">
        <f>+'Anexo 4 - FCL'!F2*(1-'Anexo 4 - FCL'!$K$1)</f>
        <v>13083.803549999997</v>
      </c>
      <c r="G2" s="273">
        <f>+'Anexo 4 - FCL'!G2*(1-'Anexo 4 - FCL'!$K$1)</f>
        <v>14799.971029999997</v>
      </c>
      <c r="H2" s="273">
        <f>+'Anexo 4 - FCL'!H2*(1-'Anexo 4 - FCL'!$K$1)</f>
        <v>12153.733000000004</v>
      </c>
      <c r="I2" s="273">
        <f>+'Anexo 4 - FCL'!I2*(1-'Anexo 4 - FCL'!$K$1)</f>
        <v>8645.6532000000007</v>
      </c>
    </row>
    <row r="3" spans="1:9">
      <c r="A3" s="284" t="s">
        <v>428</v>
      </c>
      <c r="B3" s="274">
        <f>+'Estados Financieros'!B91</f>
        <v>57698.875</v>
      </c>
      <c r="C3" s="274">
        <f>+'Estados Financieros'!C91</f>
        <v>73569.646999999997</v>
      </c>
      <c r="D3" s="274">
        <f>+'Estados Financieros'!D91</f>
        <v>75802.016000000003</v>
      </c>
      <c r="E3" s="274">
        <f>+'Estados Financieros'!E91</f>
        <v>65102.270000000004</v>
      </c>
      <c r="F3" s="274">
        <f>+'Estados Financieros'!F91</f>
        <v>69884.407999999996</v>
      </c>
      <c r="G3" s="274">
        <f>+'Estados Financieros'!G91</f>
        <v>32532.269999999997</v>
      </c>
      <c r="H3" s="274">
        <f>+'Estados Financieros'!H91</f>
        <v>30342</v>
      </c>
      <c r="I3" s="274">
        <f>+'Estados Financieros'!I91</f>
        <v>31233.253000000012</v>
      </c>
    </row>
    <row r="4" spans="1:9">
      <c r="A4" s="284" t="s">
        <v>89</v>
      </c>
      <c r="B4" s="274">
        <f>+'Estados Financieros'!B92</f>
        <v>0</v>
      </c>
      <c r="C4" s="274">
        <f>+'Estados Financieros'!C92</f>
        <v>0</v>
      </c>
      <c r="D4" s="274">
        <f>+'Estados Financieros'!D92</f>
        <v>0</v>
      </c>
      <c r="E4" s="274">
        <f>+'Estados Financieros'!E92</f>
        <v>0</v>
      </c>
      <c r="F4" s="274">
        <f>+'Estados Financieros'!F92</f>
        <v>0</v>
      </c>
      <c r="G4" s="274">
        <f>+'Estados Financieros'!G92</f>
        <v>1276.5730000000001</v>
      </c>
      <c r="H4" s="274">
        <f>+'Estados Financieros'!H92</f>
        <v>283</v>
      </c>
      <c r="I4" s="274">
        <f>+'Estados Financieros'!I92</f>
        <v>0</v>
      </c>
    </row>
    <row r="5" spans="1:9">
      <c r="A5" s="284" t="s">
        <v>429</v>
      </c>
      <c r="B5" s="275">
        <f>+'Anexo 4 - FCL'!B20*(1-'Anexo 4 - FCL'!$K$1)</f>
        <v>0</v>
      </c>
      <c r="C5" s="275">
        <f>+'Anexo 4 - FCL'!C20*(1-'Anexo 4 - FCL'!$L$1)</f>
        <v>0</v>
      </c>
      <c r="D5" s="275">
        <f>+'Anexo 4 - FCL'!D20*(1-'Anexo 4 - FCL'!$L$1)</f>
        <v>0</v>
      </c>
      <c r="E5" s="275">
        <f>+'Anexo 4 - FCL'!E20*(1-'Anexo 4 - FCL'!$L$1)</f>
        <v>0</v>
      </c>
      <c r="F5" s="275">
        <f>+'Anexo 4 - FCL'!F20*(1-'Anexo 4 - FCL'!$L$1)</f>
        <v>0</v>
      </c>
      <c r="G5" s="275">
        <f>+'Anexo 4 - FCL'!G20*(1-'Anexo 4 - FCL'!$L$1)</f>
        <v>3.9167364498544147E-2</v>
      </c>
      <c r="H5" s="275">
        <f>+'Anexo 4 - FCL'!H20*(1-'Anexo 4 - FCL'!$L$1)</f>
        <v>3.8472068957336398E-3</v>
      </c>
      <c r="I5" s="275">
        <f>+'Anexo 4 - FCL'!I20*(1-'Anexo 4 - FCL'!$L$1)</f>
        <v>1.4134275618374558E-2</v>
      </c>
    </row>
    <row r="6" spans="1:9">
      <c r="A6" s="284" t="s">
        <v>90</v>
      </c>
      <c r="B6" s="274">
        <f>+'Estados Financieros'!B93</f>
        <v>57698.875</v>
      </c>
      <c r="C6" s="274">
        <f>+'Estados Financieros'!C93</f>
        <v>73569.646999999997</v>
      </c>
      <c r="D6" s="274">
        <f>+'Estados Financieros'!D93</f>
        <v>75802.016000000003</v>
      </c>
      <c r="E6" s="274">
        <f>+'Estados Financieros'!E93</f>
        <v>65102.27</v>
      </c>
      <c r="F6" s="274">
        <f>+'Estados Financieros'!F93</f>
        <v>69884.407999999996</v>
      </c>
      <c r="G6" s="274">
        <f>+'Estados Financieros'!G93</f>
        <v>31255.697</v>
      </c>
      <c r="H6" s="274">
        <f>+'Estados Financieros'!H93</f>
        <v>30059</v>
      </c>
      <c r="I6" s="274">
        <f>+'Estados Financieros'!I93</f>
        <v>31233.253000000001</v>
      </c>
    </row>
    <row r="7" spans="1:9">
      <c r="A7" s="284" t="s">
        <v>430</v>
      </c>
      <c r="B7" s="278">
        <f>+'TASA DESCUENTO'!$F$82</f>
        <v>9.7943192948091173E-3</v>
      </c>
      <c r="C7" s="278">
        <f>+'TASA DESCUENTO'!$F$82</f>
        <v>9.7943192948091173E-3</v>
      </c>
      <c r="D7" s="278">
        <f>+'TASA DESCUENTO'!$F$82</f>
        <v>9.7943192948091173E-3</v>
      </c>
      <c r="E7" s="278">
        <f>+'TASA DESCUENTO'!$F$82</f>
        <v>9.7943192948091173E-3</v>
      </c>
      <c r="F7" s="278">
        <f>+'TASA DESCUENTO'!$F$82</f>
        <v>9.7943192948091173E-3</v>
      </c>
      <c r="G7" s="278">
        <f>+'TASA DESCUENTO'!$F$82</f>
        <v>9.7943192948091173E-3</v>
      </c>
      <c r="H7" s="278">
        <f>+'TASA DESCUENTO'!$F$82</f>
        <v>9.7943192948091173E-3</v>
      </c>
      <c r="I7" s="278">
        <f>+'TASA DESCUENTO'!$F$82</f>
        <v>9.7943192948091173E-3</v>
      </c>
    </row>
    <row r="8" spans="1:9">
      <c r="A8" s="284" t="s">
        <v>433</v>
      </c>
      <c r="B8" s="273">
        <f t="shared" ref="B8:I8" si="0">+B4+B6</f>
        <v>57698.875</v>
      </c>
      <c r="C8" s="273">
        <f t="shared" si="0"/>
        <v>73569.646999999997</v>
      </c>
      <c r="D8" s="273">
        <f t="shared" si="0"/>
        <v>75802.016000000003</v>
      </c>
      <c r="E8" s="273">
        <f t="shared" si="0"/>
        <v>65102.27</v>
      </c>
      <c r="F8" s="273">
        <f t="shared" si="0"/>
        <v>69884.407999999996</v>
      </c>
      <c r="G8" s="273">
        <f t="shared" si="0"/>
        <v>32532.27</v>
      </c>
      <c r="H8" s="273">
        <f t="shared" si="0"/>
        <v>30342</v>
      </c>
      <c r="I8" s="273">
        <f t="shared" si="0"/>
        <v>31233.253000000001</v>
      </c>
    </row>
    <row r="9" spans="1:9">
      <c r="A9" s="284" t="s">
        <v>434</v>
      </c>
      <c r="B9" s="277">
        <f t="shared" ref="B9:I9" si="1">+B4/B8</f>
        <v>0</v>
      </c>
      <c r="C9" s="277">
        <f t="shared" si="1"/>
        <v>0</v>
      </c>
      <c r="D9" s="277">
        <f t="shared" si="1"/>
        <v>0</v>
      </c>
      <c r="E9" s="277">
        <f t="shared" si="1"/>
        <v>0</v>
      </c>
      <c r="F9" s="277">
        <f t="shared" si="1"/>
        <v>0</v>
      </c>
      <c r="G9" s="277">
        <f t="shared" si="1"/>
        <v>3.9240206723969773E-2</v>
      </c>
      <c r="H9" s="277">
        <f t="shared" si="1"/>
        <v>9.3270054709643398E-3</v>
      </c>
      <c r="I9" s="277">
        <f t="shared" si="1"/>
        <v>0</v>
      </c>
    </row>
    <row r="10" spans="1:9">
      <c r="A10" s="284" t="s">
        <v>435</v>
      </c>
      <c r="B10" s="277">
        <f t="shared" ref="B10:I10" si="2">+B6/B8</f>
        <v>1</v>
      </c>
      <c r="C10" s="277">
        <f t="shared" si="2"/>
        <v>1</v>
      </c>
      <c r="D10" s="277">
        <f t="shared" si="2"/>
        <v>1</v>
      </c>
      <c r="E10" s="277">
        <f t="shared" si="2"/>
        <v>1</v>
      </c>
      <c r="F10" s="277">
        <f t="shared" si="2"/>
        <v>1</v>
      </c>
      <c r="G10" s="277">
        <f t="shared" si="2"/>
        <v>0.96075979327603023</v>
      </c>
      <c r="H10" s="277">
        <f t="shared" si="2"/>
        <v>0.99067299452903568</v>
      </c>
      <c r="I10" s="277">
        <f t="shared" si="2"/>
        <v>1</v>
      </c>
    </row>
    <row r="11" spans="1:9">
      <c r="A11" s="284" t="s">
        <v>431</v>
      </c>
      <c r="B11" s="278">
        <f t="shared" ref="B11:I11" si="3">+B9*B5+B10*B7</f>
        <v>9.7943192948091173E-3</v>
      </c>
      <c r="C11" s="278">
        <f t="shared" si="3"/>
        <v>9.7943192948091173E-3</v>
      </c>
      <c r="D11" s="278">
        <f t="shared" si="3"/>
        <v>9.7943192948091173E-3</v>
      </c>
      <c r="E11" s="278">
        <f t="shared" si="3"/>
        <v>9.7943192948091173E-3</v>
      </c>
      <c r="F11" s="278">
        <f t="shared" si="3"/>
        <v>9.7943192948091173E-3</v>
      </c>
      <c r="G11" s="278">
        <f t="shared" si="3"/>
        <v>1.0946923660716187E-2</v>
      </c>
      <c r="H11" s="278">
        <f t="shared" si="3"/>
        <v>9.7388505449265E-3</v>
      </c>
      <c r="I11" s="278">
        <f t="shared" si="3"/>
        <v>9.7943192948091173E-3</v>
      </c>
    </row>
    <row r="12" spans="1:9">
      <c r="A12" s="284" t="s">
        <v>432</v>
      </c>
      <c r="B12" s="810">
        <f t="shared" ref="B12:I12" si="4">+B2-(B11*B3)</f>
        <v>9310.8550052987193</v>
      </c>
      <c r="C12" s="810">
        <f t="shared" si="4"/>
        <v>13151.623246875604</v>
      </c>
      <c r="D12" s="810">
        <f t="shared" si="4"/>
        <v>12835.67360210577</v>
      </c>
      <c r="E12" s="810">
        <f t="shared" si="4"/>
        <v>15224.756940803125</v>
      </c>
      <c r="F12" s="810">
        <f t="shared" si="4"/>
        <v>12399.333344319284</v>
      </c>
      <c r="G12" s="810">
        <f t="shared" si="4"/>
        <v>14443.842753800189</v>
      </c>
      <c r="H12" s="810">
        <f t="shared" si="4"/>
        <v>11858.236796765845</v>
      </c>
      <c r="I12" s="810">
        <f t="shared" si="4"/>
        <v>8339.7447475024455</v>
      </c>
    </row>
    <row r="13" spans="1:9">
      <c r="A13" s="290"/>
      <c r="B13" s="272"/>
      <c r="C13" s="272"/>
      <c r="D13" s="272"/>
      <c r="E13" s="272"/>
      <c r="F13" s="272"/>
      <c r="G13" s="272"/>
      <c r="H13" s="272"/>
      <c r="I13" s="272"/>
    </row>
    <row r="14" spans="1:9">
      <c r="A14" s="284" t="s">
        <v>436</v>
      </c>
      <c r="B14" s="275">
        <f t="shared" ref="B14:I14" si="5">+B2/B3</f>
        <v>0.17116410345955616</v>
      </c>
      <c r="C14" s="275">
        <f t="shared" si="5"/>
        <v>0.18855857579417229</v>
      </c>
      <c r="D14" s="275">
        <f t="shared" si="5"/>
        <v>0.17912587905313757</v>
      </c>
      <c r="E14" s="275">
        <f t="shared" si="5"/>
        <v>0.24365339887533871</v>
      </c>
      <c r="F14" s="275">
        <f t="shared" si="5"/>
        <v>0.18722063940213957</v>
      </c>
      <c r="G14" s="275">
        <f t="shared" si="5"/>
        <v>0.45493201150734325</v>
      </c>
      <c r="H14" s="275">
        <f t="shared" si="5"/>
        <v>0.40055807132028226</v>
      </c>
      <c r="I14" s="275">
        <f t="shared" si="5"/>
        <v>0.27680924558194425</v>
      </c>
    </row>
    <row r="15" spans="1:9">
      <c r="A15" s="284" t="s">
        <v>439</v>
      </c>
      <c r="B15" s="278">
        <f t="shared" ref="B15:I15" si="6">+B14-B5</f>
        <v>0.17116410345955616</v>
      </c>
      <c r="C15" s="278">
        <f t="shared" si="6"/>
        <v>0.18855857579417229</v>
      </c>
      <c r="D15" s="278">
        <f t="shared" si="6"/>
        <v>0.17912587905313757</v>
      </c>
      <c r="E15" s="278">
        <f t="shared" si="6"/>
        <v>0.24365339887533871</v>
      </c>
      <c r="F15" s="278">
        <f t="shared" si="6"/>
        <v>0.18722063940213957</v>
      </c>
      <c r="G15" s="278">
        <f t="shared" si="6"/>
        <v>0.41576464700879912</v>
      </c>
      <c r="H15" s="278">
        <f t="shared" si="6"/>
        <v>0.39671086442454861</v>
      </c>
      <c r="I15" s="278">
        <f t="shared" si="6"/>
        <v>0.2626749699635697</v>
      </c>
    </row>
    <row r="16" spans="1:9">
      <c r="A16" s="284" t="s">
        <v>437</v>
      </c>
      <c r="B16" s="279">
        <f t="shared" ref="B16:I16" si="7">+B4/B6</f>
        <v>0</v>
      </c>
      <c r="C16" s="279">
        <f t="shared" si="7"/>
        <v>0</v>
      </c>
      <c r="D16" s="279">
        <f t="shared" si="7"/>
        <v>0</v>
      </c>
      <c r="E16" s="279">
        <f t="shared" si="7"/>
        <v>0</v>
      </c>
      <c r="F16" s="279">
        <f t="shared" si="7"/>
        <v>0</v>
      </c>
      <c r="G16" s="279">
        <f t="shared" si="7"/>
        <v>4.0842890177749037E-2</v>
      </c>
      <c r="H16" s="279">
        <f t="shared" si="7"/>
        <v>9.4148175255331177E-3</v>
      </c>
      <c r="I16" s="279">
        <f t="shared" si="7"/>
        <v>0</v>
      </c>
    </row>
    <row r="17" spans="1:9" ht="15.75" thickBot="1">
      <c r="A17" s="291" t="s">
        <v>438</v>
      </c>
      <c r="B17" s="811">
        <f t="shared" ref="B17:I17" si="8">+B14+(B15*B16)</f>
        <v>0.17116410345955616</v>
      </c>
      <c r="C17" s="811">
        <f t="shared" si="8"/>
        <v>0.18855857579417229</v>
      </c>
      <c r="D17" s="811">
        <f t="shared" si="8"/>
        <v>0.17912587905313757</v>
      </c>
      <c r="E17" s="811">
        <f t="shared" si="8"/>
        <v>0.24365339887533871</v>
      </c>
      <c r="F17" s="811">
        <f t="shared" si="8"/>
        <v>0.18722063940213957</v>
      </c>
      <c r="G17" s="811">
        <f t="shared" si="8"/>
        <v>0.47191304132491424</v>
      </c>
      <c r="H17" s="811">
        <f t="shared" si="8"/>
        <v>0.40429303171923592</v>
      </c>
      <c r="I17" s="811">
        <f t="shared" si="8"/>
        <v>0.27680924558194425</v>
      </c>
    </row>
    <row r="18" spans="1:9" ht="15.75" thickTop="1"/>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46</vt:i4>
      </vt:variant>
      <vt:variant>
        <vt:lpstr>Rangos con nombre</vt:lpstr>
      </vt:variant>
      <vt:variant>
        <vt:i4>1</vt:i4>
      </vt:variant>
    </vt:vector>
  </HeadingPairs>
  <TitlesOfParts>
    <vt:vector size="47" baseType="lpstr">
      <vt:lpstr>Indice</vt:lpstr>
      <vt:lpstr>Descripción de la compañía</vt:lpstr>
      <vt:lpstr>Informe del Sector </vt:lpstr>
      <vt:lpstr>Empresa respecto al Sector </vt:lpstr>
      <vt:lpstr>Estados Financieros</vt:lpstr>
      <vt:lpstr>Dupont</vt:lpstr>
      <vt:lpstr>KWNO</vt:lpstr>
      <vt:lpstr>Comparación de indicadores</vt:lpstr>
      <vt:lpstr>VIABILIDAD</vt:lpstr>
      <vt:lpstr>TASA DESCUENTO</vt:lpstr>
      <vt:lpstr>Anexo 1 - Balance</vt:lpstr>
      <vt:lpstr>Anexo 2 - ER</vt:lpstr>
      <vt:lpstr>Anexo 3 - FC</vt:lpstr>
      <vt:lpstr>Anexo 4 - FCL</vt:lpstr>
      <vt:lpstr>Anexo - Balance Sector </vt:lpstr>
      <vt:lpstr>Anexo - ER Sector </vt:lpstr>
      <vt:lpstr>Anexo - FC Sector</vt:lpstr>
      <vt:lpstr>Viabilidad Accionista</vt:lpstr>
      <vt:lpstr>Gráficas 2013</vt:lpstr>
      <vt:lpstr>Gráficas 2014</vt:lpstr>
      <vt:lpstr>CV EMPRESA</vt:lpstr>
      <vt:lpstr>Distribución DIVD</vt:lpstr>
      <vt:lpstr>ALTMAN</vt:lpstr>
      <vt:lpstr>Sanidad Financiera</vt:lpstr>
      <vt:lpstr>CONAN</vt:lpstr>
      <vt:lpstr>FER</vt:lpstr>
      <vt:lpstr>FUENTES &amp; USOS</vt:lpstr>
      <vt:lpstr>FLUJO DE FONDOS</vt:lpstr>
      <vt:lpstr>Proyección Ventas</vt:lpstr>
      <vt:lpstr>Proyección Flujos de Caja</vt:lpstr>
      <vt:lpstr>Cost deu. y Prove.</vt:lpstr>
      <vt:lpstr>Costo patrimon.</vt:lpstr>
      <vt:lpstr>WACC</vt:lpstr>
      <vt:lpstr>Sensibilización WACC</vt:lpstr>
      <vt:lpstr>Betas</vt:lpstr>
      <vt:lpstr>GAF</vt:lpstr>
      <vt:lpstr>Costos Ocultos</vt:lpstr>
      <vt:lpstr>Base de Datos</vt:lpstr>
      <vt:lpstr>Supuestos</vt:lpstr>
      <vt:lpstr>Modelo de Regresión</vt:lpstr>
      <vt:lpstr>Ventas y EBITDA</vt:lpstr>
      <vt:lpstr>Estados Financieros (P)</vt:lpstr>
      <vt:lpstr>DFC</vt:lpstr>
      <vt:lpstr>Modelo Múltiplos</vt:lpstr>
      <vt:lpstr>EMBI+</vt:lpstr>
      <vt:lpstr>COLCAP</vt:lpstr>
      <vt:lpstr>'Informe del Sector '!_ftnref1</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Maria</dc:creator>
  <cp:lastModifiedBy>Carlos Mario Cañon Arias</cp:lastModifiedBy>
  <cp:lastPrinted>2013-06-14T15:48:53Z</cp:lastPrinted>
  <dcterms:created xsi:type="dcterms:W3CDTF">2012-11-13T10:15:55Z</dcterms:created>
  <dcterms:modified xsi:type="dcterms:W3CDTF">2016-07-11T19:26:13Z</dcterms:modified>
</cp:coreProperties>
</file>