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ASA\AppData\Local\Temp\Rar$DIa0.306\"/>
    </mc:Choice>
  </mc:AlternateContent>
  <xr:revisionPtr revIDLastSave="0" documentId="13_ncr:1_{E9FE8EDD-C8AC-414F-B65E-83D62806BE71}" xr6:coauthVersionLast="43" xr6:coauthVersionMax="43" xr10:uidLastSave="{00000000-0000-0000-0000-000000000000}"/>
  <bookViews>
    <workbookView xWindow="-120" yWindow="-120" windowWidth="24240" windowHeight="13140" activeTab="1" xr2:uid="{00000000-000D-0000-FFFF-FFFF00000000}"/>
  </bookViews>
  <sheets>
    <sheet name="Concepto área solicitante " sheetId="8" r:id="rId1"/>
    <sheet name="COMPARATIVO" sheetId="2" r:id="rId2"/>
    <sheet name="Hoja1" sheetId="6" r:id="rId3"/>
  </sheets>
  <calcPr calcId="181029"/>
  <fileRecoveryPr autoRecover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02" i="6" l="1"/>
  <c r="R43" i="8"/>
  <c r="O40" i="8"/>
  <c r="P10" i="8"/>
  <c r="R21" i="8" s="1"/>
  <c r="R42" i="8" s="1"/>
  <c r="P9" i="8"/>
  <c r="R20" i="8" s="1"/>
  <c r="P22" i="8" s="1"/>
  <c r="P43" i="8" s="1"/>
  <c r="P8" i="8"/>
  <c r="Q20" i="8" s="1"/>
  <c r="P7" i="8"/>
  <c r="R19" i="8" s="1"/>
  <c r="P6" i="8"/>
  <c r="Q19" i="8" s="1"/>
  <c r="P5" i="8"/>
  <c r="P19" i="8" s="1"/>
  <c r="K13" i="8"/>
  <c r="K19" i="8" s="1"/>
  <c r="K22" i="8" s="1"/>
  <c r="P56" i="2"/>
  <c r="F63" i="6"/>
  <c r="F70" i="6" s="1"/>
  <c r="F78" i="6" s="1"/>
  <c r="B33" i="6"/>
  <c r="A16" i="6"/>
  <c r="A24" i="6" s="1"/>
  <c r="A31" i="6" s="1"/>
  <c r="A40" i="6" s="1"/>
  <c r="F7" i="6"/>
  <c r="F16" i="6" s="1"/>
  <c r="A7" i="6"/>
  <c r="A63" i="6" s="1"/>
  <c r="A70" i="6" s="1"/>
  <c r="A78" i="6" s="1"/>
  <c r="A85" i="6" s="1"/>
  <c r="A96" i="6" s="1"/>
  <c r="P63" i="2"/>
  <c r="E7" i="6" s="1"/>
  <c r="P61" i="2"/>
  <c r="C7" i="6" s="1"/>
  <c r="Q42" i="2"/>
  <c r="Q45" i="2" s="1"/>
  <c r="Q47" i="2" s="1"/>
  <c r="E63" i="6" l="1"/>
  <c r="E70" i="6" s="1"/>
  <c r="E16" i="6"/>
  <c r="O20" i="8"/>
  <c r="O41" i="8" s="1"/>
  <c r="R40" i="8"/>
  <c r="R30" i="8"/>
  <c r="R33" i="8"/>
  <c r="O22" i="8"/>
  <c r="O43" i="8" s="1"/>
  <c r="O21" i="8"/>
  <c r="Q22" i="8"/>
  <c r="Q30" i="8" s="1"/>
  <c r="R31" i="8"/>
  <c r="R41" i="8"/>
  <c r="R32" i="8"/>
  <c r="C16" i="6"/>
  <c r="C63" i="6"/>
  <c r="C70" i="6" s="1"/>
  <c r="C78" i="6" s="1"/>
  <c r="Q48" i="2"/>
  <c r="Q49" i="2" s="1"/>
  <c r="P58" i="2" s="1"/>
  <c r="P59" i="2" s="1"/>
  <c r="B7" i="6" s="1"/>
  <c r="Q44" i="2"/>
  <c r="Q46" i="2"/>
  <c r="Q43" i="2"/>
  <c r="G42" i="2"/>
  <c r="D64" i="2"/>
  <c r="H63" i="2"/>
  <c r="J63" i="2"/>
  <c r="F63" i="2"/>
  <c r="H61" i="2"/>
  <c r="J61" i="2"/>
  <c r="F61" i="2"/>
  <c r="C4" i="6" s="1"/>
  <c r="C60" i="6" s="1"/>
  <c r="K10" i="8"/>
  <c r="B22" i="8" s="1"/>
  <c r="K7" i="8"/>
  <c r="B7" i="8"/>
  <c r="B10" i="8" s="1"/>
  <c r="B13" i="8" s="1"/>
  <c r="P41" i="8"/>
  <c r="Q42" i="8"/>
  <c r="C51" i="6"/>
  <c r="C50" i="6"/>
  <c r="C49" i="6"/>
  <c r="C48" i="6"/>
  <c r="C47" i="6"/>
  <c r="G46" i="2" l="1"/>
  <c r="G47" i="2" s="1"/>
  <c r="G45" i="2" s="1"/>
  <c r="O32" i="8"/>
  <c r="B63" i="6"/>
  <c r="B16" i="6"/>
  <c r="Q31" i="8"/>
  <c r="Q33" i="8"/>
  <c r="Q43" i="8"/>
  <c r="B19" i="8"/>
  <c r="B16" i="8"/>
  <c r="K16" i="8"/>
  <c r="Q32" i="8"/>
  <c r="O33" i="8"/>
  <c r="O30" i="8"/>
  <c r="O31" i="8"/>
  <c r="Q41" i="8"/>
  <c r="P21" i="8"/>
  <c r="O42" i="8"/>
  <c r="Q40" i="8"/>
  <c r="P40" i="8"/>
  <c r="B70" i="6" l="1"/>
  <c r="P32" i="8"/>
  <c r="S32" i="8" s="1"/>
  <c r="P30" i="8"/>
  <c r="S30" i="8" s="1"/>
  <c r="P31" i="8"/>
  <c r="P33" i="8"/>
  <c r="S31" i="8"/>
  <c r="S33" i="8"/>
  <c r="P42" i="8"/>
  <c r="P44" i="8" l="1"/>
  <c r="H62" i="2"/>
  <c r="J62" i="2"/>
  <c r="Q44" i="8"/>
  <c r="R44" i="8"/>
  <c r="P62" i="2"/>
  <c r="D7" i="6" s="1"/>
  <c r="F62" i="2"/>
  <c r="O44" i="8"/>
  <c r="S41" i="8" l="1"/>
  <c r="T41" i="8" s="1"/>
  <c r="S43" i="8"/>
  <c r="T43" i="8" s="1"/>
  <c r="S40" i="8"/>
  <c r="T40" i="8" s="1"/>
  <c r="S42" i="8"/>
  <c r="T42" i="8" s="1"/>
  <c r="D63" i="6"/>
  <c r="D70" i="6" s="1"/>
  <c r="D78" i="6" s="1"/>
  <c r="D16" i="6"/>
  <c r="T44" i="8" l="1"/>
  <c r="O52" i="8" s="1"/>
  <c r="S53" i="8" s="1"/>
  <c r="T48" i="8"/>
  <c r="F6" i="6"/>
  <c r="F15" i="6" s="1"/>
  <c r="F5" i="6"/>
  <c r="F14" i="6" s="1"/>
  <c r="F4" i="6"/>
  <c r="E6" i="6"/>
  <c r="E5" i="6"/>
  <c r="E61" i="6" s="1"/>
  <c r="E4" i="6"/>
  <c r="E60" i="6" s="1"/>
  <c r="D6" i="6"/>
  <c r="D62" i="6" s="1"/>
  <c r="D5" i="6"/>
  <c r="D61" i="6" s="1"/>
  <c r="D4" i="6"/>
  <c r="D60" i="6" s="1"/>
  <c r="C6" i="6"/>
  <c r="C62" i="6" s="1"/>
  <c r="C5" i="6"/>
  <c r="C61" i="6" s="1"/>
  <c r="F3" i="6"/>
  <c r="F59" i="6" s="1"/>
  <c r="F66" i="6" s="1"/>
  <c r="F74" i="6" s="1"/>
  <c r="F81" i="6" s="1"/>
  <c r="F92" i="6" s="1"/>
  <c r="E3" i="6"/>
  <c r="E12" i="6" s="1"/>
  <c r="E20" i="6" s="1"/>
  <c r="E27" i="6" s="1"/>
  <c r="E36" i="6" s="1"/>
  <c r="A50" i="6" s="1"/>
  <c r="D3" i="6"/>
  <c r="D59" i="6" s="1"/>
  <c r="D66" i="6" s="1"/>
  <c r="D74" i="6" s="1"/>
  <c r="D81" i="6" s="1"/>
  <c r="D92" i="6" s="1"/>
  <c r="C3" i="6"/>
  <c r="C12" i="6" s="1"/>
  <c r="C20" i="6" s="1"/>
  <c r="C27" i="6" s="1"/>
  <c r="C36" i="6" s="1"/>
  <c r="A48" i="6" s="1"/>
  <c r="B3" i="6"/>
  <c r="F56" i="2"/>
  <c r="F60" i="6" l="1"/>
  <c r="F13" i="6"/>
  <c r="C69" i="6"/>
  <c r="C77" i="6" s="1"/>
  <c r="C67" i="6"/>
  <c r="C75" i="6" s="1"/>
  <c r="D69" i="6"/>
  <c r="D77" i="6" s="1"/>
  <c r="D67" i="6"/>
  <c r="D75" i="6" s="1"/>
  <c r="D68" i="6"/>
  <c r="D76" i="6" s="1"/>
  <c r="C68" i="6"/>
  <c r="C76" i="6" s="1"/>
  <c r="E68" i="6"/>
  <c r="F62" i="6"/>
  <c r="F69" i="6" s="1"/>
  <c r="F77" i="6" s="1"/>
  <c r="C59" i="6"/>
  <c r="C66" i="6" s="1"/>
  <c r="C74" i="6" s="1"/>
  <c r="C81" i="6" s="1"/>
  <c r="C92" i="6" s="1"/>
  <c r="E59" i="6"/>
  <c r="E66" i="6" s="1"/>
  <c r="E74" i="6" s="1"/>
  <c r="E81" i="6" s="1"/>
  <c r="E92" i="6" s="1"/>
  <c r="B12" i="6"/>
  <c r="B20" i="6" s="1"/>
  <c r="B27" i="6" s="1"/>
  <c r="B36" i="6" s="1"/>
  <c r="A47" i="6" s="1"/>
  <c r="B59" i="6"/>
  <c r="B66" i="6" s="1"/>
  <c r="B74" i="6" s="1"/>
  <c r="B81" i="6" s="1"/>
  <c r="B92" i="6" s="1"/>
  <c r="E15" i="6"/>
  <c r="E62" i="6"/>
  <c r="F61" i="6"/>
  <c r="D14" i="6"/>
  <c r="D12" i="6"/>
  <c r="D20" i="6" s="1"/>
  <c r="D27" i="6" s="1"/>
  <c r="D36" i="6" s="1"/>
  <c r="A49" i="6" s="1"/>
  <c r="C15" i="6"/>
  <c r="F12" i="6"/>
  <c r="F20" i="6" s="1"/>
  <c r="F27" i="6" s="1"/>
  <c r="F36" i="6" s="1"/>
  <c r="A51" i="6" s="1"/>
  <c r="E14" i="6"/>
  <c r="E22" i="6" s="1"/>
  <c r="E29" i="6" s="1"/>
  <c r="E38" i="6" s="1"/>
  <c r="E13" i="6"/>
  <c r="C14" i="6"/>
  <c r="C13" i="6"/>
  <c r="D15" i="6"/>
  <c r="D13" i="6"/>
  <c r="E69" i="6" l="1"/>
  <c r="E67" i="6"/>
  <c r="E71" i="6" s="1"/>
  <c r="E21" i="6"/>
  <c r="E28" i="6" s="1"/>
  <c r="E37" i="6" s="1"/>
  <c r="E24" i="6"/>
  <c r="E31" i="6" s="1"/>
  <c r="E40" i="6" s="1"/>
  <c r="E23" i="6"/>
  <c r="E30" i="6" s="1"/>
  <c r="E39" i="6" s="1"/>
  <c r="F67" i="6"/>
  <c r="F24" i="6"/>
  <c r="F23" i="6"/>
  <c r="F30" i="6" s="1"/>
  <c r="F39" i="6" s="1"/>
  <c r="F21" i="6"/>
  <c r="F28" i="6" s="1"/>
  <c r="F37" i="6" s="1"/>
  <c r="F22" i="6"/>
  <c r="F29" i="6" s="1"/>
  <c r="F38" i="6" s="1"/>
  <c r="D82" i="6"/>
  <c r="D24" i="6"/>
  <c r="D31" i="6" s="1"/>
  <c r="D40" i="6" s="1"/>
  <c r="D21" i="6"/>
  <c r="D22" i="6"/>
  <c r="D29" i="6" s="1"/>
  <c r="D38" i="6" s="1"/>
  <c r="D23" i="6"/>
  <c r="D30" i="6" s="1"/>
  <c r="D39" i="6" s="1"/>
  <c r="D84" i="6"/>
  <c r="D83" i="6"/>
  <c r="D85" i="6"/>
  <c r="C82" i="6"/>
  <c r="C83" i="6"/>
  <c r="C85" i="6"/>
  <c r="C84" i="6"/>
  <c r="C22" i="6"/>
  <c r="C29" i="6" s="1"/>
  <c r="C38" i="6" s="1"/>
  <c r="C24" i="6"/>
  <c r="C31" i="6" s="1"/>
  <c r="C40" i="6" s="1"/>
  <c r="C23" i="6"/>
  <c r="C30" i="6" s="1"/>
  <c r="C39" i="6" s="1"/>
  <c r="C21" i="6"/>
  <c r="C28" i="6" s="1"/>
  <c r="C37" i="6" s="1"/>
  <c r="F68" i="6"/>
  <c r="F76" i="6" s="1"/>
  <c r="F75" i="6"/>
  <c r="D28" i="6"/>
  <c r="D37" i="6" s="1"/>
  <c r="E76" i="6" l="1"/>
  <c r="E75" i="6"/>
  <c r="E77" i="6"/>
  <c r="E78" i="6"/>
  <c r="D86" i="6"/>
  <c r="D87" i="6"/>
  <c r="E41" i="6"/>
  <c r="C86" i="6"/>
  <c r="C87" i="6"/>
  <c r="F31" i="6"/>
  <c r="F40" i="6" s="1"/>
  <c r="F41" i="6" s="1"/>
  <c r="F43" i="6" s="1"/>
  <c r="F44" i="6" s="1"/>
  <c r="C41" i="6"/>
  <c r="C43" i="6" s="1"/>
  <c r="C44" i="6" s="1"/>
  <c r="D41" i="6"/>
  <c r="D43" i="6" s="1"/>
  <c r="D44" i="6" s="1"/>
  <c r="F84" i="6"/>
  <c r="F82" i="6"/>
  <c r="F83" i="6"/>
  <c r="F85" i="6"/>
  <c r="E82" i="6"/>
  <c r="E83" i="6"/>
  <c r="E84" i="6"/>
  <c r="E85" i="6"/>
  <c r="E43" i="6"/>
  <c r="E44" i="6" s="1"/>
  <c r="E86" i="6" l="1"/>
  <c r="E87" i="6"/>
  <c r="F86" i="6"/>
  <c r="F87" i="6"/>
  <c r="E95" i="6" l="1"/>
  <c r="E94" i="6"/>
  <c r="E96" i="6"/>
  <c r="B14" i="2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50" i="2" l="1"/>
  <c r="B51" i="2" s="1"/>
  <c r="B52" i="2" s="1"/>
  <c r="B53" i="2" s="1"/>
  <c r="I42" i="2" l="1"/>
  <c r="K42" i="2"/>
  <c r="L58" i="2" l="1"/>
  <c r="M38" i="2" l="1"/>
  <c r="O46" i="2" l="1"/>
  <c r="L63" i="2" l="1"/>
  <c r="N63" i="2"/>
  <c r="L61" i="2"/>
  <c r="N61" i="2"/>
  <c r="M42" i="2"/>
  <c r="N56" i="2"/>
  <c r="L56" i="2"/>
  <c r="O42" i="2" l="1"/>
  <c r="O47" i="2" s="1"/>
  <c r="O48" i="2" s="1"/>
  <c r="O45" i="2" l="1"/>
  <c r="O43" i="2"/>
  <c r="O44" i="2"/>
  <c r="M45" i="2"/>
  <c r="M43" i="2"/>
  <c r="M46" i="2"/>
  <c r="M47" i="2" s="1"/>
  <c r="M44" i="2"/>
  <c r="I43" i="2"/>
  <c r="I45" i="2"/>
  <c r="I44" i="2"/>
  <c r="I46" i="2"/>
  <c r="I47" i="2" l="1"/>
  <c r="I48" i="2" s="1"/>
  <c r="O49" i="2"/>
  <c r="M48" i="2"/>
  <c r="M49" i="2" s="1"/>
  <c r="K44" i="2"/>
  <c r="K46" i="2"/>
  <c r="K43" i="2"/>
  <c r="K45" i="2"/>
  <c r="K47" i="2" s="1"/>
  <c r="K48" i="2" s="1"/>
  <c r="K49" i="2" l="1"/>
  <c r="H56" i="2" l="1"/>
  <c r="A5" i="6" s="1"/>
  <c r="A4" i="6"/>
  <c r="J56" i="2"/>
  <c r="A6" i="6" s="1"/>
  <c r="A60" i="6" l="1"/>
  <c r="A67" i="6" s="1"/>
  <c r="A75" i="6" s="1"/>
  <c r="A82" i="6" s="1"/>
  <c r="A93" i="6" s="1"/>
  <c r="A13" i="6"/>
  <c r="A21" i="6" s="1"/>
  <c r="A28" i="6" s="1"/>
  <c r="A37" i="6" s="1"/>
  <c r="A15" i="6"/>
  <c r="A23" i="6" s="1"/>
  <c r="A30" i="6" s="1"/>
  <c r="A39" i="6" s="1"/>
  <c r="A62" i="6"/>
  <c r="A69" i="6" s="1"/>
  <c r="A77" i="6" s="1"/>
  <c r="A84" i="6" s="1"/>
  <c r="A95" i="6" s="1"/>
  <c r="A61" i="6"/>
  <c r="A68" i="6" s="1"/>
  <c r="A76" i="6" s="1"/>
  <c r="A83" i="6" s="1"/>
  <c r="A94" i="6" s="1"/>
  <c r="A14" i="6"/>
  <c r="A22" i="6" s="1"/>
  <c r="A29" i="6" s="1"/>
  <c r="A38" i="6" s="1"/>
  <c r="I49" i="2"/>
  <c r="H58" i="2" l="1"/>
  <c r="H59" i="2" s="1"/>
  <c r="B5" i="6" s="1"/>
  <c r="B61" i="6" s="1"/>
  <c r="G43" i="2" l="1"/>
  <c r="G44" i="2"/>
  <c r="B14" i="6"/>
  <c r="B68" i="6"/>
  <c r="G48" i="2"/>
  <c r="G49" i="2" l="1"/>
  <c r="F58" i="2" s="1"/>
  <c r="J58" i="2"/>
  <c r="J59" i="2" s="1"/>
  <c r="E7" i="2"/>
  <c r="B6" i="6" l="1"/>
  <c r="B15" i="6" s="1"/>
  <c r="F59" i="2"/>
  <c r="B4" i="6" s="1"/>
  <c r="B60" i="6" l="1"/>
  <c r="B13" i="6"/>
  <c r="B22" i="6" s="1"/>
  <c r="B29" i="6" s="1"/>
  <c r="B38" i="6" s="1"/>
  <c r="B62" i="6"/>
  <c r="N59" i="2"/>
  <c r="N64" i="2" s="1"/>
  <c r="L59" i="2"/>
  <c r="L64" i="2" s="1"/>
  <c r="B21" i="6" l="1"/>
  <c r="B28" i="6" s="1"/>
  <c r="B37" i="6" s="1"/>
  <c r="B23" i="6"/>
  <c r="B30" i="6" s="1"/>
  <c r="B39" i="6" s="1"/>
  <c r="B24" i="6"/>
  <c r="B31" i="6" s="1"/>
  <c r="B40" i="6" s="1"/>
  <c r="B69" i="6"/>
  <c r="B67" i="6"/>
  <c r="B71" i="6" s="1"/>
  <c r="B41" i="6" l="1"/>
  <c r="B43" i="6" s="1"/>
  <c r="B44" i="6" s="1"/>
  <c r="B49" i="6" s="1"/>
  <c r="B78" i="6"/>
  <c r="B76" i="6"/>
  <c r="B77" i="6"/>
  <c r="B75" i="6"/>
  <c r="B50" i="6" l="1"/>
  <c r="D50" i="6" s="1"/>
  <c r="B51" i="6"/>
  <c r="D51" i="6" s="1"/>
  <c r="B85" i="6"/>
  <c r="B48" i="6"/>
  <c r="D48" i="6" s="1"/>
  <c r="B47" i="6"/>
  <c r="D47" i="6" s="1"/>
  <c r="B83" i="6"/>
  <c r="B82" i="6"/>
  <c r="B84" i="6"/>
  <c r="D49" i="6"/>
  <c r="B86" i="6" l="1"/>
  <c r="B87" i="6"/>
  <c r="E47" i="6"/>
  <c r="B88" i="6" s="1"/>
  <c r="E48" i="6"/>
  <c r="C88" i="6" s="1"/>
  <c r="E51" i="6"/>
  <c r="F88" i="6" s="1"/>
  <c r="E50" i="6"/>
  <c r="E88" i="6" s="1"/>
  <c r="E93" i="6" s="1"/>
  <c r="E49" i="6"/>
  <c r="D88" i="6" s="1"/>
  <c r="B94" i="6" l="1"/>
  <c r="B96" i="6"/>
  <c r="C94" i="6"/>
  <c r="C95" i="6"/>
  <c r="C96" i="6"/>
  <c r="C93" i="6"/>
  <c r="B95" i="6"/>
  <c r="D94" i="6"/>
  <c r="D96" i="6"/>
  <c r="D93" i="6"/>
  <c r="D95" i="6"/>
  <c r="F96" i="6"/>
  <c r="F95" i="6"/>
  <c r="F94" i="6"/>
  <c r="F93" i="6"/>
  <c r="B93" i="6"/>
  <c r="G96" i="6" l="1"/>
  <c r="H93" i="6"/>
  <c r="H94" i="6"/>
  <c r="G93" i="6"/>
  <c r="H96" i="6"/>
  <c r="G94" i="6"/>
  <c r="G95" i="6"/>
  <c r="H95" i="6"/>
  <c r="G99" i="6" l="1"/>
  <c r="G100" i="6"/>
  <c r="H99" i="6"/>
  <c r="H100" i="6"/>
  <c r="I96" i="6" l="1"/>
  <c r="I93" i="6"/>
  <c r="I95" i="6"/>
  <c r="I94" i="6"/>
  <c r="I99" i="6" l="1"/>
  <c r="J93" i="6" s="1"/>
  <c r="J94" i="6" l="1"/>
  <c r="J96" i="6"/>
  <c r="J95" i="6"/>
  <c r="K96" i="6" l="1"/>
  <c r="P64" i="2" s="1"/>
  <c r="K95" i="6"/>
  <c r="J64" i="2" s="1"/>
  <c r="K94" i="6"/>
  <c r="H64" i="2" s="1"/>
  <c r="K93" i="6"/>
  <c r="F64" i="2" s="1"/>
</calcChain>
</file>

<file path=xl/sharedStrings.xml><?xml version="1.0" encoding="utf-8"?>
<sst xmlns="http://schemas.openxmlformats.org/spreadsheetml/2006/main" count="138" uniqueCount="95">
  <si>
    <t xml:space="preserve">SELECCION DE PROVEEDOR </t>
  </si>
  <si>
    <t>CODIGO: PRC 001</t>
  </si>
  <si>
    <t>ADQUISION DE BIEN O SERVICIO</t>
  </si>
  <si>
    <t xml:space="preserve">FECHA DE ELABORACION </t>
  </si>
  <si>
    <t xml:space="preserve">RESPONSABLE DE ELABORACION </t>
  </si>
  <si>
    <t>CARGO</t>
  </si>
  <si>
    <t xml:space="preserve">PROVEEDORES </t>
  </si>
  <si>
    <t>ITEM</t>
  </si>
  <si>
    <t xml:space="preserve">PRODUCTO Y /O SERVICIO </t>
  </si>
  <si>
    <t>CANT</t>
  </si>
  <si>
    <t xml:space="preserve">SUBTOTAL </t>
  </si>
  <si>
    <t>DESCUENTO</t>
  </si>
  <si>
    <t>IVA</t>
  </si>
  <si>
    <t xml:space="preserve">TOTAL  </t>
  </si>
  <si>
    <t xml:space="preserve">FORMA DE PAGO </t>
  </si>
  <si>
    <t xml:space="preserve">TIEMPO DE ENTREGA </t>
  </si>
  <si>
    <t xml:space="preserve">GARANTIA </t>
  </si>
  <si>
    <t xml:space="preserve">VALIDEZ DE LA OFERTA </t>
  </si>
  <si>
    <t>EVALUACION DE PROVEEDORES</t>
  </si>
  <si>
    <t>FACTOR</t>
  </si>
  <si>
    <t>Precio</t>
  </si>
  <si>
    <t>Tiempo Entrega</t>
  </si>
  <si>
    <t>PUNTAJE:</t>
  </si>
  <si>
    <t>TOTAL</t>
  </si>
  <si>
    <t>Vr. Total</t>
  </si>
  <si>
    <t>FECHA: 16/10/2016</t>
  </si>
  <si>
    <t>ADMINISTRACION</t>
  </si>
  <si>
    <t>UTILIDAD</t>
  </si>
  <si>
    <t>IMPREVISTOS</t>
  </si>
  <si>
    <r>
      <rPr>
        <b/>
        <sz val="11"/>
        <color indexed="8"/>
        <rFont val="Calibri"/>
        <family val="2"/>
        <scheme val="minor"/>
      </rPr>
      <t>ELABORÓ:</t>
    </r>
    <r>
      <rPr>
        <sz val="11"/>
        <color indexed="8"/>
        <rFont val="Calibri"/>
        <family val="2"/>
        <scheme val="minor"/>
      </rPr>
      <t xml:space="preserve"> COMPRAS</t>
    </r>
  </si>
  <si>
    <r>
      <rPr>
        <b/>
        <sz val="11"/>
        <color indexed="8"/>
        <rFont val="Calibri"/>
        <family val="2"/>
        <scheme val="minor"/>
      </rPr>
      <t>APROBÓ:</t>
    </r>
    <r>
      <rPr>
        <sz val="11"/>
        <color indexed="8"/>
        <rFont val="Calibri"/>
        <family val="2"/>
        <scheme val="minor"/>
      </rPr>
      <t xml:space="preserve"> JEFATURA  ADMINISTRATIVA</t>
    </r>
  </si>
  <si>
    <t>UM</t>
  </si>
  <si>
    <t>RESPONSABLE  DEL REQUERIMIENTO</t>
  </si>
  <si>
    <t>PROVEEDOR</t>
  </si>
  <si>
    <t>PROVEEDORES</t>
  </si>
  <si>
    <t>Experiencia</t>
  </si>
  <si>
    <t>Concepto area experta</t>
  </si>
  <si>
    <t>Ítems a Evaluar</t>
  </si>
  <si>
    <t>Garantia</t>
  </si>
  <si>
    <t>45 DIAS</t>
  </si>
  <si>
    <t>ELECTROINDUSTRIALES SJ</t>
  </si>
  <si>
    <t>INTERNACIONAL DE ELECTRICOS</t>
  </si>
  <si>
    <t>ELECTRICOS HR</t>
  </si>
  <si>
    <t>corrección de error</t>
  </si>
  <si>
    <t>log(aij)</t>
  </si>
  <si>
    <t>aij (Matriz normalizada)</t>
  </si>
  <si>
    <t>k</t>
  </si>
  <si>
    <t>log(aij)*aij</t>
  </si>
  <si>
    <t>suma</t>
  </si>
  <si>
    <t>Ej</t>
  </si>
  <si>
    <t>Dj</t>
  </si>
  <si>
    <t>max+0,000001</t>
  </si>
  <si>
    <t>fmax</t>
  </si>
  <si>
    <t>fmin</t>
  </si>
  <si>
    <t>Wj</t>
  </si>
  <si>
    <t>obj</t>
  </si>
  <si>
    <t>sub</t>
  </si>
  <si>
    <t>S</t>
  </si>
  <si>
    <t>R</t>
  </si>
  <si>
    <t>MAX</t>
  </si>
  <si>
    <t>min</t>
  </si>
  <si>
    <t>Q</t>
  </si>
  <si>
    <t>CR</t>
  </si>
  <si>
    <t>ci</t>
  </si>
  <si>
    <t>RI</t>
  </si>
  <si>
    <t>nmax</t>
  </si>
  <si>
    <t>P(3)</t>
  </si>
  <si>
    <t>P(2)</t>
  </si>
  <si>
    <t>P(1)</t>
  </si>
  <si>
    <t xml:space="preserve">P(B) Es extremadamente  mejor que P(A) </t>
  </si>
  <si>
    <t>P(B) Es mucho mejor  mejor que P(A)</t>
  </si>
  <si>
    <t>P(B)  Es moderadamente mejor que P(PA)</t>
  </si>
  <si>
    <r>
      <rPr>
        <b/>
        <sz val="11"/>
        <color theme="1"/>
        <rFont val="Calibri"/>
        <family val="2"/>
        <scheme val="minor"/>
      </rPr>
      <t>P(A)</t>
    </r>
    <r>
      <rPr>
        <sz val="11"/>
        <color theme="1"/>
        <rFont val="Calibri"/>
        <family val="2"/>
        <scheme val="minor"/>
      </rPr>
      <t xml:space="preserve"> Es extremadamente mejor que </t>
    </r>
    <r>
      <rPr>
        <b/>
        <sz val="11"/>
        <color theme="1"/>
        <rFont val="Calibri"/>
        <family val="2"/>
        <scheme val="minor"/>
      </rPr>
      <t>P(B)</t>
    </r>
    <r>
      <rPr>
        <sz val="11"/>
        <color theme="1"/>
        <rFont val="Calibri"/>
        <family val="2"/>
        <scheme val="minor"/>
      </rPr>
      <t xml:space="preserve"> </t>
    </r>
  </si>
  <si>
    <r>
      <rPr>
        <b/>
        <sz val="11"/>
        <color theme="1"/>
        <rFont val="Calibri"/>
        <family val="2"/>
        <scheme val="minor"/>
      </rPr>
      <t>P(A)</t>
    </r>
    <r>
      <rPr>
        <sz val="11"/>
        <color theme="1"/>
        <rFont val="Calibri"/>
        <family val="2"/>
        <scheme val="minor"/>
      </rPr>
      <t xml:space="preserve">  Es mucho mejor que </t>
    </r>
    <r>
      <rPr>
        <b/>
        <sz val="11"/>
        <color theme="1"/>
        <rFont val="Calibri"/>
        <family val="2"/>
        <scheme val="minor"/>
      </rPr>
      <t>P(B)</t>
    </r>
  </si>
  <si>
    <r>
      <rPr>
        <b/>
        <sz val="11"/>
        <color theme="1"/>
        <rFont val="Calibri"/>
        <family val="2"/>
        <scheme val="minor"/>
      </rPr>
      <t>P(A)</t>
    </r>
    <r>
      <rPr>
        <sz val="11"/>
        <color theme="1"/>
        <rFont val="Calibri"/>
        <family val="2"/>
        <scheme val="minor"/>
      </rPr>
      <t xml:space="preserve">  Es moderadamente mejor que </t>
    </r>
    <r>
      <rPr>
        <b/>
        <sz val="11"/>
        <color theme="1"/>
        <rFont val="Calibri"/>
        <family val="2"/>
        <scheme val="minor"/>
      </rPr>
      <t>P(PB)</t>
    </r>
  </si>
  <si>
    <t>Puntaje</t>
  </si>
  <si>
    <t>P(B)</t>
  </si>
  <si>
    <t>P(A)</t>
  </si>
  <si>
    <t>Igual</t>
  </si>
  <si>
    <t xml:space="preserve">PROVEEDOR </t>
  </si>
  <si>
    <r>
      <rPr>
        <b/>
        <sz val="11"/>
        <color theme="1"/>
        <rFont val="Calibri"/>
        <family val="2"/>
        <scheme val="minor"/>
      </rPr>
      <t>P(A)</t>
    </r>
    <r>
      <rPr>
        <sz val="11"/>
        <color theme="1"/>
        <rFont val="Calibri"/>
        <family val="2"/>
        <scheme val="minor"/>
      </rPr>
      <t xml:space="preserve"> Y </t>
    </r>
    <r>
      <rPr>
        <b/>
        <sz val="11"/>
        <color theme="1"/>
        <rFont val="Calibri"/>
        <family val="2"/>
        <scheme val="minor"/>
      </rPr>
      <t>P(B)</t>
    </r>
    <r>
      <rPr>
        <sz val="11"/>
        <color theme="1"/>
        <rFont val="Calibri"/>
        <family val="2"/>
        <scheme val="minor"/>
      </rPr>
      <t xml:space="preserve"> son iguales</t>
    </r>
  </si>
  <si>
    <t>P(A) vs P(B)</t>
  </si>
  <si>
    <t>DESCRIPCIÓN</t>
  </si>
  <si>
    <t>Escala de calificación</t>
  </si>
  <si>
    <t>Calificación área experta</t>
  </si>
  <si>
    <t>CONCEPTO DEL ÁREA/PERSONA EXPERTA</t>
  </si>
  <si>
    <t>¿Cuál proveedor le genera mayor confianza?</t>
  </si>
  <si>
    <t>Extremadamente mayor</t>
  </si>
  <si>
    <t>Mucho mayor</t>
  </si>
  <si>
    <t>Moderadamente mayor</t>
  </si>
  <si>
    <t>Extremedamente mayor</t>
  </si>
  <si>
    <t>SAS</t>
  </si>
  <si>
    <t>P(4)</t>
  </si>
  <si>
    <t>FREDY INFANTE</t>
  </si>
  <si>
    <t>PRACTICANTE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</si>
</sst>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64" formatCode="_(&quot;$&quot;\ * #,##0_);_(&quot;$&quot;\ * \(#,##0\);_(&quot;$&quot;\ * &quot;-&quot;_);_(@_)"/>
    <numFmt numFmtId="165" formatCode="_(&quot;$&quot;\ * #,##0.00_);_(&quot;$&quot;\ * \(#,##0.00\);_(&quot;$&quot;\ * &quot;-&quot;??_);_(@_)"/>
    <numFmt numFmtId="166" formatCode="_-&quot;$&quot;* #,##0.00_-;\-&quot;$&quot;* #,##0.00_-;_-&quot;$&quot;* &quot;-&quot;??_-;_-@_-"/>
    <numFmt numFmtId="167" formatCode="_ &quot;$&quot;\ * #,##0_ ;_ &quot;$&quot;\ * \-#,##0_ ;_ &quot;$&quot;\ * &quot;-&quot;_ ;_ @_ "/>
    <numFmt numFmtId="168" formatCode="_ * #,##0.00_ ;_ * \-#,##0.00_ ;_ * &quot;-&quot;??_ ;_ @_ "/>
    <numFmt numFmtId="169" formatCode="_-* #,##0.00\ &quot;pta&quot;_-;\-* #,##0.00\ &quot;pta&quot;_-;_-* &quot;-&quot;??\ &quot;pta&quot;_-;_-@_-"/>
    <numFmt numFmtId="170" formatCode="0.0%"/>
    <numFmt numFmtId="171" formatCode="0\ &quot; DÍAS &quot;"/>
    <numFmt numFmtId="172" formatCode="&quot;$&quot;\ 0\ &quot; USD&quot;"/>
    <numFmt numFmtId="173" formatCode="_(&quot;$&quot;\ * #,##0_);_(&quot;$&quot;\ * \(#,##0\);_(&quot;$&quot;\ * &quot;-&quot;??_);_(@_)"/>
    <numFmt numFmtId="174" formatCode="0.0000%"/>
    <numFmt numFmtId="175" formatCode="0.00000"/>
    <numFmt numFmtId="176" formatCode="0.0"/>
    <numFmt numFmtId="177" formatCode="0\ &quot; DÍAS&quot;"/>
  </numFmts>
  <fonts count="5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Geneva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9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Times New Roman"/>
      <family val="1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0"/>
      <color indexed="8"/>
      <name val="MS Sans Serif"/>
      <family val="2"/>
    </font>
    <font>
      <sz val="10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55">
    <xf numFmtId="0" fontId="0" fillId="0" borderId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0" fontId="5" fillId="0" borderId="0"/>
    <xf numFmtId="0" fontId="10" fillId="0" borderId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5" fillId="18" borderId="29" applyNumberFormat="0" applyAlignment="0" applyProtection="0"/>
    <xf numFmtId="0" fontId="16" fillId="19" borderId="30" applyNumberFormat="0" applyAlignment="0" applyProtection="0"/>
    <xf numFmtId="0" fontId="17" fillId="0" borderId="31" applyNumberFormat="0" applyFill="0" applyAlignment="0" applyProtection="0"/>
    <xf numFmtId="0" fontId="26" fillId="0" borderId="32" applyNumberFormat="0" applyFill="0" applyAlignment="0" applyProtection="0"/>
    <xf numFmtId="0" fontId="18" fillId="0" borderId="0" applyNumberFormat="0" applyFill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23" borderId="0" applyNumberFormat="0" applyBorder="0" applyAlignment="0" applyProtection="0"/>
    <xf numFmtId="0" fontId="19" fillId="9" borderId="29" applyNumberFormat="0" applyAlignment="0" applyProtection="0"/>
    <xf numFmtId="0" fontId="10" fillId="0" borderId="0"/>
    <xf numFmtId="0" fontId="20" fillId="5" borderId="0" applyNumberFormat="0" applyBorder="0" applyAlignment="0" applyProtection="0"/>
    <xf numFmtId="168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0" fontId="21" fillId="24" borderId="0" applyNumberFormat="0" applyBorder="0" applyAlignment="0" applyProtection="0"/>
    <xf numFmtId="0" fontId="10" fillId="0" borderId="0"/>
    <xf numFmtId="0" fontId="10" fillId="0" borderId="0"/>
    <xf numFmtId="0" fontId="13" fillId="0" borderId="0"/>
    <xf numFmtId="0" fontId="2" fillId="25" borderId="33" applyNumberFormat="0" applyFont="0" applyAlignment="0" applyProtection="0"/>
    <xf numFmtId="0" fontId="2" fillId="25" borderId="33" applyNumberFormat="0" applyFont="0" applyAlignment="0" applyProtection="0"/>
    <xf numFmtId="9" fontId="10" fillId="0" borderId="0" applyFont="0" applyFill="0" applyBorder="0" applyAlignment="0" applyProtection="0"/>
    <xf numFmtId="0" fontId="22" fillId="18" borderId="34" applyNumberFormat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7" fillId="0" borderId="35" applyNumberFormat="0" applyFill="0" applyAlignment="0" applyProtection="0"/>
    <xf numFmtId="0" fontId="18" fillId="0" borderId="36" applyNumberFormat="0" applyFill="0" applyAlignment="0" applyProtection="0"/>
    <xf numFmtId="0" fontId="28" fillId="0" borderId="37" applyNumberFormat="0" applyFill="0" applyAlignment="0" applyProtection="0"/>
    <xf numFmtId="165" fontId="3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40" applyNumberFormat="0" applyFill="0" applyAlignment="0" applyProtection="0"/>
    <xf numFmtId="0" fontId="35" fillId="0" borderId="41" applyNumberFormat="0" applyFill="0" applyAlignment="0" applyProtection="0"/>
    <xf numFmtId="0" fontId="36" fillId="0" borderId="42" applyNumberFormat="0" applyFill="0" applyAlignment="0" applyProtection="0"/>
    <xf numFmtId="0" fontId="36" fillId="0" borderId="0" applyNumberFormat="0" applyFill="0" applyBorder="0" applyAlignment="0" applyProtection="0"/>
    <xf numFmtId="0" fontId="37" fillId="26" borderId="0" applyNumberFormat="0" applyBorder="0" applyAlignment="0" applyProtection="0"/>
    <xf numFmtId="0" fontId="38" fillId="27" borderId="0" applyNumberFormat="0" applyBorder="0" applyAlignment="0" applyProtection="0"/>
    <xf numFmtId="0" fontId="39" fillId="28" borderId="0" applyNumberFormat="0" applyBorder="0" applyAlignment="0" applyProtection="0"/>
    <xf numFmtId="0" fontId="40" fillId="29" borderId="43" applyNumberFormat="0" applyAlignment="0" applyProtection="0"/>
    <xf numFmtId="0" fontId="41" fillId="30" borderId="44" applyNumberFormat="0" applyAlignment="0" applyProtection="0"/>
    <xf numFmtId="0" fontId="42" fillId="30" borderId="43" applyNumberFormat="0" applyAlignment="0" applyProtection="0"/>
    <xf numFmtId="0" fontId="43" fillId="0" borderId="45" applyNumberFormat="0" applyFill="0" applyAlignment="0" applyProtection="0"/>
    <xf numFmtId="0" fontId="44" fillId="31" borderId="46" applyNumberFormat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" fillId="0" borderId="48" applyNumberFormat="0" applyFill="0" applyAlignment="0" applyProtection="0"/>
    <xf numFmtId="0" fontId="47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47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47" fillId="41" borderId="0" applyNumberFormat="0" applyBorder="0" applyAlignment="0" applyProtection="0"/>
    <xf numFmtId="0" fontId="3" fillId="42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47" fillId="45" borderId="0" applyNumberFormat="0" applyBorder="0" applyAlignment="0" applyProtection="0"/>
    <xf numFmtId="0" fontId="3" fillId="46" borderId="0" applyNumberFormat="0" applyBorder="0" applyAlignment="0" applyProtection="0"/>
    <xf numFmtId="0" fontId="3" fillId="47" borderId="0" applyNumberFormat="0" applyBorder="0" applyAlignment="0" applyProtection="0"/>
    <xf numFmtId="0" fontId="3" fillId="48" borderId="0" applyNumberFormat="0" applyBorder="0" applyAlignment="0" applyProtection="0"/>
    <xf numFmtId="0" fontId="47" fillId="49" borderId="0" applyNumberFormat="0" applyBorder="0" applyAlignment="0" applyProtection="0"/>
    <xf numFmtId="0" fontId="3" fillId="50" borderId="0" applyNumberFormat="0" applyBorder="0" applyAlignment="0" applyProtection="0"/>
    <xf numFmtId="0" fontId="3" fillId="51" borderId="0" applyNumberFormat="0" applyBorder="0" applyAlignment="0" applyProtection="0"/>
    <xf numFmtId="0" fontId="3" fillId="52" borderId="0" applyNumberFormat="0" applyBorder="0" applyAlignment="0" applyProtection="0"/>
    <xf numFmtId="0" fontId="47" fillId="53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48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32" borderId="47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34" borderId="0" applyNumberFormat="0" applyBorder="0" applyAlignment="0" applyProtection="0"/>
    <xf numFmtId="0" fontId="3" fillId="38" borderId="0" applyNumberFormat="0" applyBorder="0" applyAlignment="0" applyProtection="0"/>
    <xf numFmtId="0" fontId="3" fillId="42" borderId="0" applyNumberFormat="0" applyBorder="0" applyAlignment="0" applyProtection="0"/>
    <xf numFmtId="0" fontId="3" fillId="46" borderId="0" applyNumberFormat="0" applyBorder="0" applyAlignment="0" applyProtection="0"/>
    <xf numFmtId="0" fontId="3" fillId="50" borderId="0" applyNumberFormat="0" applyBorder="0" applyAlignment="0" applyProtection="0"/>
    <xf numFmtId="0" fontId="3" fillId="54" borderId="0" applyNumberFormat="0" applyBorder="0" applyAlignment="0" applyProtection="0"/>
    <xf numFmtId="0" fontId="3" fillId="35" borderId="0" applyNumberFormat="0" applyBorder="0" applyAlignment="0" applyProtection="0"/>
    <xf numFmtId="0" fontId="3" fillId="39" borderId="0" applyNumberFormat="0" applyBorder="0" applyAlignment="0" applyProtection="0"/>
    <xf numFmtId="0" fontId="3" fillId="43" borderId="0" applyNumberFormat="0" applyBorder="0" applyAlignment="0" applyProtection="0"/>
    <xf numFmtId="0" fontId="3" fillId="47" borderId="0" applyNumberFormat="0" applyBorder="0" applyAlignment="0" applyProtection="0"/>
    <xf numFmtId="0" fontId="3" fillId="51" borderId="0" applyNumberFormat="0" applyBorder="0" applyAlignment="0" applyProtection="0"/>
    <xf numFmtId="0" fontId="3" fillId="55" borderId="0" applyNumberFormat="0" applyBorder="0" applyAlignment="0" applyProtection="0"/>
    <xf numFmtId="0" fontId="3" fillId="36" borderId="0" applyNumberFormat="0" applyBorder="0" applyAlignment="0" applyProtection="0"/>
    <xf numFmtId="0" fontId="3" fillId="40" borderId="0" applyNumberFormat="0" applyBorder="0" applyAlignment="0" applyProtection="0"/>
    <xf numFmtId="0" fontId="3" fillId="44" borderId="0" applyNumberFormat="0" applyBorder="0" applyAlignment="0" applyProtection="0"/>
    <xf numFmtId="0" fontId="3" fillId="48" borderId="0" applyNumberFormat="0" applyBorder="0" applyAlignment="0" applyProtection="0"/>
    <xf numFmtId="0" fontId="3" fillId="52" borderId="0" applyNumberFormat="0" applyBorder="0" applyAlignment="0" applyProtection="0"/>
    <xf numFmtId="0" fontId="3" fillId="56" borderId="0" applyNumberFormat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32" borderId="47" applyNumberFormat="0" applyFont="0" applyAlignment="0" applyProtection="0"/>
    <xf numFmtId="0" fontId="10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</cellStyleXfs>
  <cellXfs count="268">
    <xf numFmtId="0" fontId="0" fillId="0" borderId="0" xfId="0"/>
    <xf numFmtId="0" fontId="1" fillId="0" borderId="0" xfId="0" applyFont="1" applyFill="1" applyBorder="1" applyAlignment="1">
      <alignment horizontal="left"/>
    </xf>
    <xf numFmtId="0" fontId="1" fillId="0" borderId="0" xfId="0" applyFont="1" applyAlignment="1">
      <alignment horizontal="center" vertical="center" wrapText="1"/>
    </xf>
    <xf numFmtId="0" fontId="0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0" fillId="0" borderId="0" xfId="0" applyFont="1" applyAlignment="1"/>
    <xf numFmtId="0" fontId="0" fillId="0" borderId="2" xfId="0" applyFont="1" applyBorder="1" applyAlignment="1"/>
    <xf numFmtId="0" fontId="0" fillId="0" borderId="0" xfId="0" applyFont="1" applyFill="1" applyBorder="1"/>
    <xf numFmtId="0" fontId="0" fillId="0" borderId="0" xfId="0" applyNumberFormat="1" applyFont="1"/>
    <xf numFmtId="0" fontId="0" fillId="0" borderId="0" xfId="0" applyFont="1"/>
    <xf numFmtId="0" fontId="0" fillId="0" borderId="0" xfId="0" applyFont="1" applyBorder="1"/>
    <xf numFmtId="167" fontId="0" fillId="0" borderId="0" xfId="0" applyNumberFormat="1" applyFont="1"/>
    <xf numFmtId="9" fontId="0" fillId="0" borderId="0" xfId="0" applyNumberFormat="1" applyFont="1"/>
    <xf numFmtId="0" fontId="7" fillId="0" borderId="0" xfId="0" applyFont="1" applyBorder="1" applyAlignment="1">
      <alignment horizontal="right"/>
    </xf>
    <xf numFmtId="0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15" xfId="0" applyNumberFormat="1" applyFont="1" applyBorder="1" applyAlignment="1">
      <alignment horizontal="center"/>
    </xf>
    <xf numFmtId="9" fontId="7" fillId="0" borderId="7" xfId="3" applyFont="1" applyBorder="1" applyAlignment="1">
      <alignment horizontal="center"/>
    </xf>
    <xf numFmtId="0" fontId="29" fillId="0" borderId="0" xfId="0" applyFont="1"/>
    <xf numFmtId="4" fontId="30" fillId="0" borderId="7" xfId="0" applyNumberFormat="1" applyFont="1" applyBorder="1" applyAlignment="1">
      <alignment horizontal="center"/>
    </xf>
    <xf numFmtId="165" fontId="6" fillId="0" borderId="7" xfId="71" applyFont="1" applyBorder="1" applyAlignment="1">
      <alignment horizontal="left"/>
    </xf>
    <xf numFmtId="165" fontId="0" fillId="0" borderId="7" xfId="71" applyFont="1" applyBorder="1" applyAlignment="1">
      <alignment horizontal="left"/>
    </xf>
    <xf numFmtId="0" fontId="0" fillId="0" borderId="0" xfId="0" applyNumberFormat="1"/>
    <xf numFmtId="165" fontId="32" fillId="0" borderId="7" xfId="71" applyFont="1" applyBorder="1" applyAlignment="1">
      <alignment horizontal="left"/>
    </xf>
    <xf numFmtId="165" fontId="32" fillId="0" borderId="7" xfId="71" applyFont="1" applyBorder="1" applyAlignment="1">
      <alignment horizontal="center"/>
    </xf>
    <xf numFmtId="0" fontId="0" fillId="0" borderId="7" xfId="0" applyFont="1" applyBorder="1" applyAlignment="1"/>
    <xf numFmtId="0" fontId="7" fillId="0" borderId="7" xfId="0" applyFont="1" applyBorder="1" applyAlignment="1"/>
    <xf numFmtId="0" fontId="49" fillId="0" borderId="7" xfId="59" applyFont="1" applyFill="1" applyBorder="1" applyAlignment="1">
      <alignment wrapText="1"/>
    </xf>
    <xf numFmtId="165" fontId="8" fillId="0" borderId="7" xfId="71" applyFont="1" applyFill="1" applyBorder="1" applyAlignment="1">
      <alignment horizontal="left" vertical="center" wrapText="1"/>
    </xf>
    <xf numFmtId="164" fontId="10" fillId="0" borderId="23" xfId="56" applyNumberFormat="1" applyFont="1" applyFill="1" applyBorder="1" applyAlignment="1">
      <alignment vertical="center"/>
    </xf>
    <xf numFmtId="0" fontId="0" fillId="0" borderId="7" xfId="0" applyBorder="1"/>
    <xf numFmtId="0" fontId="49" fillId="0" borderId="7" xfId="143" applyFont="1" applyFill="1" applyBorder="1" applyAlignment="1">
      <alignment horizontal="center" vertical="center"/>
    </xf>
    <xf numFmtId="0" fontId="50" fillId="0" borderId="7" xfId="0" applyFont="1" applyFill="1" applyBorder="1" applyAlignment="1">
      <alignment horizontal="center" vertical="center"/>
    </xf>
    <xf numFmtId="0" fontId="49" fillId="0" borderId="7" xfId="59" applyFont="1" applyFill="1" applyBorder="1" applyAlignment="1">
      <alignment horizontal="left" wrapText="1"/>
    </xf>
    <xf numFmtId="172" fontId="8" fillId="0" borderId="7" xfId="1" applyNumberFormat="1" applyFont="1" applyFill="1" applyBorder="1" applyAlignment="1">
      <alignment vertical="center" wrapText="1"/>
    </xf>
    <xf numFmtId="0" fontId="51" fillId="0" borderId="0" xfId="0" applyFont="1" applyFill="1" applyBorder="1"/>
    <xf numFmtId="0" fontId="51" fillId="0" borderId="0" xfId="0" applyFont="1"/>
    <xf numFmtId="0" fontId="0" fillId="0" borderId="7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49" fillId="0" borderId="38" xfId="59" applyFont="1" applyFill="1" applyBorder="1" applyAlignment="1">
      <alignment wrapText="1"/>
    </xf>
    <xf numFmtId="164" fontId="8" fillId="0" borderId="7" xfId="71" applyNumberFormat="1" applyFont="1" applyFill="1" applyBorder="1" applyAlignment="1">
      <alignment horizontal="left" vertical="center" wrapText="1"/>
    </xf>
    <xf numFmtId="0" fontId="0" fillId="0" borderId="7" xfId="0" applyFont="1" applyBorder="1" applyAlignment="1">
      <alignment horizontal="center"/>
    </xf>
    <xf numFmtId="173" fontId="54" fillId="0" borderId="7" xfId="71" applyNumberFormat="1" applyFont="1" applyFill="1" applyBorder="1" applyAlignment="1">
      <alignment horizontal="center" vertical="center" wrapText="1"/>
    </xf>
    <xf numFmtId="0" fontId="0" fillId="0" borderId="23" xfId="0" applyBorder="1" applyAlignment="1">
      <alignment horizontal="center"/>
    </xf>
    <xf numFmtId="164" fontId="10" fillId="58" borderId="23" xfId="56" applyNumberFormat="1" applyFont="1" applyFill="1" applyBorder="1" applyAlignment="1">
      <alignment vertical="center"/>
    </xf>
    <xf numFmtId="165" fontId="8" fillId="58" borderId="7" xfId="71" applyFont="1" applyFill="1" applyBorder="1" applyAlignment="1">
      <alignment horizontal="left" vertical="center" wrapText="1"/>
    </xf>
    <xf numFmtId="164" fontId="10" fillId="58" borderId="6" xfId="56" applyNumberFormat="1" applyFont="1" applyFill="1" applyBorder="1" applyAlignment="1">
      <alignment vertical="center"/>
    </xf>
    <xf numFmtId="0" fontId="0" fillId="59" borderId="7" xfId="0" applyFont="1" applyFill="1" applyBorder="1" applyAlignment="1">
      <alignment horizontal="center"/>
    </xf>
    <xf numFmtId="4" fontId="31" fillId="59" borderId="7" xfId="0" applyNumberFormat="1" applyFont="1" applyFill="1" applyBorder="1" applyAlignment="1">
      <alignment horizontal="center"/>
    </xf>
    <xf numFmtId="165" fontId="32" fillId="59" borderId="7" xfId="71" applyFont="1" applyFill="1" applyBorder="1" applyAlignment="1">
      <alignment horizontal="left"/>
    </xf>
    <xf numFmtId="165" fontId="32" fillId="59" borderId="7" xfId="71" applyFont="1" applyFill="1" applyBorder="1" applyAlignment="1">
      <alignment horizontal="center"/>
    </xf>
    <xf numFmtId="9" fontId="7" fillId="59" borderId="7" xfId="3" applyFont="1" applyFill="1" applyBorder="1" applyAlignment="1">
      <alignment horizontal="center"/>
    </xf>
    <xf numFmtId="165" fontId="6" fillId="59" borderId="7" xfId="71" applyFont="1" applyFill="1" applyBorder="1" applyAlignment="1">
      <alignment horizontal="left"/>
    </xf>
    <xf numFmtId="165" fontId="0" fillId="59" borderId="7" xfId="71" applyFont="1" applyFill="1" applyBorder="1" applyAlignment="1">
      <alignment horizontal="left"/>
    </xf>
    <xf numFmtId="4" fontId="30" fillId="59" borderId="7" xfId="0" applyNumberFormat="1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9" fontId="0" fillId="0" borderId="0" xfId="0" applyNumberFormat="1"/>
    <xf numFmtId="9" fontId="0" fillId="0" borderId="0" xfId="3" applyFont="1"/>
    <xf numFmtId="174" fontId="0" fillId="0" borderId="0" xfId="3" applyNumberFormat="1" applyFont="1"/>
    <xf numFmtId="0" fontId="0" fillId="60" borderId="25" xfId="0" applyFill="1" applyBorder="1" applyAlignment="1">
      <alignment horizontal="center"/>
    </xf>
    <xf numFmtId="0" fontId="47" fillId="61" borderId="25" xfId="0" applyFont="1" applyFill="1" applyBorder="1" applyAlignment="1">
      <alignment horizontal="center"/>
    </xf>
    <xf numFmtId="0" fontId="0" fillId="62" borderId="25" xfId="0" applyFill="1" applyBorder="1" applyAlignment="1">
      <alignment horizontal="center"/>
    </xf>
    <xf numFmtId="0" fontId="0" fillId="0" borderId="52" xfId="0" applyBorder="1"/>
    <xf numFmtId="0" fontId="0" fillId="0" borderId="5" xfId="0" applyBorder="1"/>
    <xf numFmtId="0" fontId="0" fillId="63" borderId="26" xfId="0" applyFill="1" applyBorder="1" applyAlignment="1">
      <alignment horizontal="left"/>
    </xf>
    <xf numFmtId="12" fontId="1" fillId="63" borderId="25" xfId="0" applyNumberFormat="1" applyFont="1" applyFill="1" applyBorder="1" applyAlignment="1">
      <alignment horizontal="center"/>
    </xf>
    <xf numFmtId="0" fontId="0" fillId="60" borderId="7" xfId="0" applyFill="1" applyBorder="1" applyAlignment="1">
      <alignment horizontal="center"/>
    </xf>
    <xf numFmtId="0" fontId="47" fillId="61" borderId="7" xfId="0" applyFont="1" applyFill="1" applyBorder="1" applyAlignment="1">
      <alignment horizontal="center"/>
    </xf>
    <xf numFmtId="0" fontId="0" fillId="62" borderId="7" xfId="0" applyFill="1" applyBorder="1" applyAlignment="1">
      <alignment horizontal="center"/>
    </xf>
    <xf numFmtId="0" fontId="0" fillId="63" borderId="8" xfId="0" applyFill="1" applyBorder="1" applyAlignment="1">
      <alignment horizontal="left"/>
    </xf>
    <xf numFmtId="12" fontId="1" fillId="63" borderId="7" xfId="0" applyNumberFormat="1" applyFont="1" applyFill="1" applyBorder="1" applyAlignment="1">
      <alignment horizontal="center"/>
    </xf>
    <xf numFmtId="0" fontId="0" fillId="0" borderId="0" xfId="0" applyBorder="1"/>
    <xf numFmtId="12" fontId="0" fillId="57" borderId="7" xfId="0" applyNumberFormat="1" applyFill="1" applyBorder="1" applyAlignment="1">
      <alignment horizontal="center" vertical="center"/>
    </xf>
    <xf numFmtId="0" fontId="55" fillId="0" borderId="21" xfId="0" applyFont="1" applyBorder="1" applyAlignment="1">
      <alignment horizontal="center"/>
    </xf>
    <xf numFmtId="0" fontId="0" fillId="60" borderId="27" xfId="0" applyFill="1" applyBorder="1" applyAlignment="1">
      <alignment horizontal="center"/>
    </xf>
    <xf numFmtId="0" fontId="47" fillId="61" borderId="27" xfId="0" applyFont="1" applyFill="1" applyBorder="1" applyAlignment="1">
      <alignment horizontal="center"/>
    </xf>
    <xf numFmtId="0" fontId="0" fillId="62" borderId="27" xfId="0" applyFill="1" applyBorder="1" applyAlignment="1">
      <alignment horizontal="center"/>
    </xf>
    <xf numFmtId="0" fontId="1" fillId="63" borderId="7" xfId="0" applyFont="1" applyFill="1" applyBorder="1" applyAlignment="1">
      <alignment horizontal="center"/>
    </xf>
    <xf numFmtId="0" fontId="0" fillId="0" borderId="57" xfId="0" applyBorder="1" applyAlignment="1">
      <alignment horizontal="center"/>
    </xf>
    <xf numFmtId="0" fontId="55" fillId="0" borderId="58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59" xfId="0" applyFont="1" applyBorder="1" applyAlignment="1">
      <alignment horizontal="center"/>
    </xf>
    <xf numFmtId="0" fontId="1" fillId="63" borderId="60" xfId="0" applyFont="1" applyFill="1" applyBorder="1" applyAlignment="1">
      <alignment horizontal="center"/>
    </xf>
    <xf numFmtId="0" fontId="1" fillId="63" borderId="60" xfId="0" applyFont="1" applyFill="1" applyBorder="1"/>
    <xf numFmtId="0" fontId="45" fillId="0" borderId="0" xfId="0" applyFont="1"/>
    <xf numFmtId="0" fontId="45" fillId="58" borderId="0" xfId="0" applyFont="1" applyFill="1" applyAlignment="1">
      <alignment horizontal="center"/>
    </xf>
    <xf numFmtId="12" fontId="45" fillId="58" borderId="0" xfId="0" applyNumberFormat="1" applyFont="1" applyFill="1"/>
    <xf numFmtId="0" fontId="45" fillId="58" borderId="0" xfId="0" applyFont="1" applyFill="1"/>
    <xf numFmtId="165" fontId="45" fillId="58" borderId="0" xfId="0" applyNumberFormat="1" applyFont="1" applyFill="1"/>
    <xf numFmtId="0" fontId="57" fillId="58" borderId="0" xfId="0" applyFont="1" applyFill="1"/>
    <xf numFmtId="174" fontId="45" fillId="58" borderId="0" xfId="3" applyNumberFormat="1" applyFont="1" applyFill="1"/>
    <xf numFmtId="1" fontId="0" fillId="0" borderId="7" xfId="0" applyNumberFormat="1" applyBorder="1"/>
    <xf numFmtId="0" fontId="0" fillId="0" borderId="7" xfId="0" applyFont="1" applyBorder="1"/>
    <xf numFmtId="0" fontId="0" fillId="0" borderId="27" xfId="0" applyFont="1" applyBorder="1"/>
    <xf numFmtId="10" fontId="0" fillId="0" borderId="0" xfId="3" applyNumberFormat="1" applyFont="1"/>
    <xf numFmtId="0" fontId="0" fillId="0" borderId="49" xfId="0" applyFill="1" applyBorder="1"/>
    <xf numFmtId="0" fontId="1" fillId="0" borderId="1" xfId="0" applyFont="1" applyBorder="1" applyAlignment="1">
      <alignment vertical="top"/>
    </xf>
    <xf numFmtId="0" fontId="1" fillId="0" borderId="2" xfId="0" applyFont="1" applyBorder="1" applyAlignment="1">
      <alignment vertical="top"/>
    </xf>
    <xf numFmtId="0" fontId="1" fillId="0" borderId="15" xfId="0" applyFont="1" applyBorder="1" applyAlignment="1">
      <alignment vertical="top"/>
    </xf>
    <xf numFmtId="0" fontId="1" fillId="0" borderId="5" xfId="0" applyFont="1" applyBorder="1" applyAlignment="1">
      <alignment vertical="top"/>
    </xf>
    <xf numFmtId="0" fontId="1" fillId="0" borderId="0" xfId="0" applyFont="1" applyBorder="1" applyAlignment="1">
      <alignment vertical="top"/>
    </xf>
    <xf numFmtId="0" fontId="1" fillId="0" borderId="52" xfId="0" applyFont="1" applyBorder="1" applyAlignment="1">
      <alignment vertical="top"/>
    </xf>
    <xf numFmtId="0" fontId="45" fillId="58" borderId="0" xfId="0" applyFont="1" applyFill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55" fillId="0" borderId="5" xfId="0" applyFont="1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1" fillId="0" borderId="7" xfId="0" applyFont="1" applyBorder="1" applyAlignment="1">
      <alignment horizontal="center" vertical="top"/>
    </xf>
    <xf numFmtId="12" fontId="45" fillId="58" borderId="7" xfId="0" applyNumberFormat="1" applyFont="1" applyFill="1" applyBorder="1" applyAlignment="1">
      <alignment horizontal="center" vertical="center"/>
    </xf>
    <xf numFmtId="12" fontId="45" fillId="58" borderId="7" xfId="0" applyNumberFormat="1" applyFont="1" applyFill="1" applyBorder="1"/>
    <xf numFmtId="0" fontId="45" fillId="58" borderId="7" xfId="0" applyFont="1" applyFill="1" applyBorder="1"/>
    <xf numFmtId="12" fontId="45" fillId="0" borderId="7" xfId="0" applyNumberFormat="1" applyFont="1" applyBorder="1"/>
    <xf numFmtId="12" fontId="57" fillId="58" borderId="0" xfId="0" applyNumberFormat="1" applyFont="1" applyFill="1"/>
    <xf numFmtId="1" fontId="0" fillId="0" borderId="0" xfId="0" applyNumberFormat="1"/>
    <xf numFmtId="176" fontId="45" fillId="58" borderId="0" xfId="3" applyNumberFormat="1" applyFont="1" applyFill="1"/>
    <xf numFmtId="9" fontId="45" fillId="58" borderId="7" xfId="0" applyNumberFormat="1" applyFont="1" applyFill="1" applyBorder="1"/>
    <xf numFmtId="9" fontId="0" fillId="0" borderId="7" xfId="0" applyNumberFormat="1" applyBorder="1"/>
    <xf numFmtId="0" fontId="57" fillId="58" borderId="7" xfId="0" applyFont="1" applyFill="1" applyBorder="1"/>
    <xf numFmtId="175" fontId="45" fillId="58" borderId="7" xfId="0" applyNumberFormat="1" applyFont="1" applyFill="1" applyBorder="1"/>
    <xf numFmtId="0" fontId="57" fillId="58" borderId="7" xfId="0" applyFont="1" applyFill="1" applyBorder="1" applyAlignment="1">
      <alignment horizontal="center"/>
    </xf>
    <xf numFmtId="0" fontId="1" fillId="58" borderId="5" xfId="0" applyFont="1" applyFill="1" applyBorder="1"/>
    <xf numFmtId="0" fontId="1" fillId="58" borderId="0" xfId="0" applyFont="1" applyFill="1"/>
    <xf numFmtId="0" fontId="1" fillId="0" borderId="0" xfId="0" applyFont="1"/>
    <xf numFmtId="0" fontId="1" fillId="58" borderId="52" xfId="0" applyFont="1" applyFill="1" applyBorder="1"/>
    <xf numFmtId="0" fontId="7" fillId="0" borderId="0" xfId="0" applyFont="1" applyBorder="1" applyAlignment="1"/>
    <xf numFmtId="2" fontId="57" fillId="58" borderId="7" xfId="0" applyNumberFormat="1" applyFont="1" applyFill="1" applyBorder="1"/>
    <xf numFmtId="0" fontId="1" fillId="62" borderId="7" xfId="0" applyFont="1" applyFill="1" applyBorder="1" applyAlignment="1">
      <alignment horizontal="center" vertical="top"/>
    </xf>
    <xf numFmtId="0" fontId="1" fillId="60" borderId="7" xfId="0" applyFont="1" applyFill="1" applyBorder="1" applyAlignment="1">
      <alignment horizontal="center" vertical="top"/>
    </xf>
    <xf numFmtId="0" fontId="1" fillId="61" borderId="21" xfId="0" applyFont="1" applyFill="1" applyBorder="1" applyAlignment="1">
      <alignment horizontal="center"/>
    </xf>
    <xf numFmtId="0" fontId="1" fillId="61" borderId="54" xfId="0" applyFont="1" applyFill="1" applyBorder="1" applyAlignment="1">
      <alignment horizontal="center"/>
    </xf>
    <xf numFmtId="0" fontId="56" fillId="0" borderId="1" xfId="0" applyFont="1" applyBorder="1" applyAlignment="1">
      <alignment horizontal="center" vertical="center"/>
    </xf>
    <xf numFmtId="0" fontId="56" fillId="0" borderId="2" xfId="0" applyFont="1" applyBorder="1" applyAlignment="1">
      <alignment horizontal="center" vertical="center"/>
    </xf>
    <xf numFmtId="0" fontId="56" fillId="0" borderId="15" xfId="0" applyFont="1" applyBorder="1" applyAlignment="1">
      <alignment horizontal="center" vertical="center"/>
    </xf>
    <xf numFmtId="0" fontId="56" fillId="0" borderId="5" xfId="0" applyFont="1" applyBorder="1" applyAlignment="1">
      <alignment horizontal="center" vertical="center"/>
    </xf>
    <xf numFmtId="0" fontId="56" fillId="0" borderId="0" xfId="0" applyFont="1" applyBorder="1" applyAlignment="1">
      <alignment horizontal="center" vertical="center"/>
    </xf>
    <xf numFmtId="0" fontId="56" fillId="0" borderId="52" xfId="0" applyFont="1" applyBorder="1" applyAlignment="1">
      <alignment horizontal="center" vertical="center"/>
    </xf>
    <xf numFmtId="0" fontId="1" fillId="58" borderId="58" xfId="0" applyNumberFormat="1" applyFont="1" applyFill="1" applyBorder="1" applyAlignment="1">
      <alignment horizontal="center"/>
    </xf>
    <xf numFmtId="0" fontId="1" fillId="58" borderId="57" xfId="0" applyNumberFormat="1" applyFont="1" applyFill="1" applyBorder="1" applyAlignment="1">
      <alignment horizontal="center"/>
    </xf>
    <xf numFmtId="0" fontId="1" fillId="58" borderId="56" xfId="0" applyFont="1" applyFill="1" applyBorder="1" applyAlignment="1">
      <alignment horizontal="center"/>
    </xf>
    <xf numFmtId="0" fontId="1" fillId="58" borderId="55" xfId="0" applyFont="1" applyFill="1" applyBorder="1" applyAlignment="1">
      <alignment horizontal="center"/>
    </xf>
    <xf numFmtId="0" fontId="1" fillId="58" borderId="21" xfId="0" applyFont="1" applyFill="1" applyBorder="1" applyAlignment="1">
      <alignment horizontal="center"/>
    </xf>
    <xf numFmtId="0" fontId="1" fillId="58" borderId="23" xfId="0" applyFont="1" applyFill="1" applyBorder="1" applyAlignment="1">
      <alignment horizontal="center"/>
    </xf>
    <xf numFmtId="0" fontId="1" fillId="58" borderId="38" xfId="0" applyFont="1" applyFill="1" applyBorder="1" applyAlignment="1">
      <alignment horizontal="center"/>
    </xf>
    <xf numFmtId="0" fontId="1" fillId="58" borderId="54" xfId="0" applyFont="1" applyFill="1" applyBorder="1" applyAlignment="1">
      <alignment horizontal="center"/>
    </xf>
    <xf numFmtId="0" fontId="1" fillId="62" borderId="1" xfId="0" applyFont="1" applyFill="1" applyBorder="1" applyAlignment="1">
      <alignment horizontal="center"/>
    </xf>
    <xf numFmtId="0" fontId="1" fillId="62" borderId="2" xfId="0" applyFont="1" applyFill="1" applyBorder="1" applyAlignment="1">
      <alignment horizontal="center"/>
    </xf>
    <xf numFmtId="0" fontId="1" fillId="62" borderId="15" xfId="0" applyFont="1" applyFill="1" applyBorder="1" applyAlignment="1">
      <alignment horizontal="center"/>
    </xf>
    <xf numFmtId="0" fontId="1" fillId="59" borderId="5" xfId="0" applyFont="1" applyFill="1" applyBorder="1" applyAlignment="1">
      <alignment horizontal="center"/>
    </xf>
    <xf numFmtId="0" fontId="1" fillId="59" borderId="0" xfId="0" applyFont="1" applyFill="1" applyBorder="1" applyAlignment="1">
      <alignment horizontal="center"/>
    </xf>
    <xf numFmtId="0" fontId="30" fillId="0" borderId="0" xfId="0" applyFont="1" applyAlignment="1">
      <alignment horizontal="center" vertical="center"/>
    </xf>
    <xf numFmtId="0" fontId="30" fillId="0" borderId="52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top"/>
    </xf>
    <xf numFmtId="0" fontId="1" fillId="59" borderId="7" xfId="0" applyFont="1" applyFill="1" applyBorder="1" applyAlignment="1">
      <alignment horizontal="center" vertical="center" wrapText="1"/>
    </xf>
    <xf numFmtId="0" fontId="1" fillId="58" borderId="24" xfId="0" applyFont="1" applyFill="1" applyBorder="1" applyAlignment="1">
      <alignment horizontal="center"/>
    </xf>
    <xf numFmtId="0" fontId="1" fillId="58" borderId="14" xfId="0" applyFont="1" applyFill="1" applyBorder="1" applyAlignment="1">
      <alignment horizontal="center"/>
    </xf>
    <xf numFmtId="0" fontId="1" fillId="58" borderId="39" xfId="0" applyFont="1" applyFill="1" applyBorder="1" applyAlignment="1">
      <alignment horizontal="center"/>
    </xf>
    <xf numFmtId="0" fontId="1" fillId="58" borderId="53" xfId="0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30" fillId="0" borderId="5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9" fillId="2" borderId="7" xfId="0" applyNumberFormat="1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center"/>
    </xf>
    <xf numFmtId="170" fontId="9" fillId="0" borderId="38" xfId="0" applyNumberFormat="1" applyFont="1" applyFill="1" applyBorder="1" applyAlignment="1">
      <alignment horizontal="center"/>
    </xf>
    <xf numFmtId="170" fontId="9" fillId="0" borderId="23" xfId="0" applyNumberFormat="1" applyFont="1" applyFill="1" applyBorder="1" applyAlignment="1">
      <alignment horizontal="center"/>
    </xf>
    <xf numFmtId="9" fontId="9" fillId="0" borderId="38" xfId="0" applyNumberFormat="1" applyFont="1" applyFill="1" applyBorder="1" applyAlignment="1">
      <alignment horizontal="center"/>
    </xf>
    <xf numFmtId="9" fontId="9" fillId="0" borderId="23" xfId="0" applyNumberFormat="1" applyFont="1" applyFill="1" applyBorder="1" applyAlignment="1">
      <alignment horizontal="center"/>
    </xf>
    <xf numFmtId="1" fontId="0" fillId="0" borderId="7" xfId="0" applyNumberFormat="1" applyFont="1" applyFill="1" applyBorder="1" applyAlignment="1">
      <alignment horizontal="center"/>
    </xf>
    <xf numFmtId="9" fontId="0" fillId="0" borderId="7" xfId="0" applyNumberFormat="1" applyFont="1" applyFill="1" applyBorder="1" applyAlignment="1">
      <alignment horizontal="center"/>
    </xf>
    <xf numFmtId="1" fontId="0" fillId="0" borderId="7" xfId="3" applyNumberFormat="1" applyFont="1" applyFill="1" applyBorder="1" applyAlignment="1">
      <alignment horizontal="center"/>
    </xf>
    <xf numFmtId="167" fontId="52" fillId="2" borderId="7" xfId="0" applyNumberFormat="1" applyFont="1" applyFill="1" applyBorder="1" applyAlignment="1">
      <alignment horizontal="center"/>
    </xf>
    <xf numFmtId="170" fontId="0" fillId="0" borderId="7" xfId="0" applyNumberFormat="1" applyFont="1" applyFill="1" applyBorder="1" applyAlignment="1">
      <alignment horizontal="center"/>
    </xf>
    <xf numFmtId="0" fontId="9" fillId="3" borderId="38" xfId="0" applyFont="1" applyFill="1" applyBorder="1" applyAlignment="1">
      <alignment horizontal="left"/>
    </xf>
    <xf numFmtId="0" fontId="9" fillId="3" borderId="23" xfId="0" applyFont="1" applyFill="1" applyBorder="1" applyAlignment="1">
      <alignment horizontal="left"/>
    </xf>
    <xf numFmtId="0" fontId="9" fillId="2" borderId="7" xfId="0" applyFont="1" applyFill="1" applyBorder="1" applyAlignment="1">
      <alignment horizontal="center" vertical="center"/>
    </xf>
    <xf numFmtId="0" fontId="0" fillId="3" borderId="7" xfId="0" applyFont="1" applyFill="1" applyBorder="1" applyAlignment="1">
      <alignment horizontal="center"/>
    </xf>
    <xf numFmtId="0" fontId="52" fillId="2" borderId="7" xfId="0" applyFont="1" applyFill="1" applyBorder="1" applyAlignment="1">
      <alignment horizontal="center"/>
    </xf>
    <xf numFmtId="9" fontId="9" fillId="3" borderId="7" xfId="0" applyNumberFormat="1" applyFont="1" applyFill="1" applyBorder="1" applyAlignment="1">
      <alignment horizontal="center"/>
    </xf>
    <xf numFmtId="9" fontId="9" fillId="3" borderId="38" xfId="2" applyFont="1" applyFill="1" applyBorder="1" applyAlignment="1">
      <alignment horizontal="center"/>
    </xf>
    <xf numFmtId="9" fontId="9" fillId="3" borderId="23" xfId="2" applyFont="1" applyFill="1" applyBorder="1" applyAlignment="1">
      <alignment horizontal="center"/>
    </xf>
    <xf numFmtId="0" fontId="9" fillId="2" borderId="7" xfId="0" applyFont="1" applyFill="1" applyBorder="1" applyAlignment="1">
      <alignment horizontal="center" vertical="center" wrapText="1"/>
    </xf>
    <xf numFmtId="177" fontId="1" fillId="59" borderId="38" xfId="0" applyNumberFormat="1" applyFont="1" applyFill="1" applyBorder="1" applyAlignment="1">
      <alignment horizontal="center"/>
    </xf>
    <xf numFmtId="177" fontId="1" fillId="59" borderId="23" xfId="0" applyNumberFormat="1" applyFont="1" applyFill="1" applyBorder="1" applyAlignment="1">
      <alignment horizontal="center"/>
    </xf>
    <xf numFmtId="0" fontId="7" fillId="59" borderId="38" xfId="0" applyFont="1" applyFill="1" applyBorder="1" applyAlignment="1">
      <alignment horizontal="right"/>
    </xf>
    <xf numFmtId="0" fontId="7" fillId="59" borderId="22" xfId="0" applyFont="1" applyFill="1" applyBorder="1" applyAlignment="1">
      <alignment horizontal="right"/>
    </xf>
    <xf numFmtId="0" fontId="7" fillId="59" borderId="23" xfId="0" applyFont="1" applyFill="1" applyBorder="1" applyAlignment="1">
      <alignment horizontal="right"/>
    </xf>
    <xf numFmtId="171" fontId="7" fillId="0" borderId="7" xfId="0" applyNumberFormat="1" applyFont="1" applyBorder="1" applyAlignment="1">
      <alignment horizontal="center" wrapText="1"/>
    </xf>
    <xf numFmtId="0" fontId="7" fillId="2" borderId="49" xfId="0" applyFont="1" applyFill="1" applyBorder="1" applyAlignment="1">
      <alignment horizontal="center" vertical="center" wrapText="1"/>
    </xf>
    <xf numFmtId="0" fontId="7" fillId="2" borderId="27" xfId="0" applyFont="1" applyFill="1" applyBorder="1" applyAlignment="1">
      <alignment horizontal="center" vertical="center" wrapText="1"/>
    </xf>
    <xf numFmtId="0" fontId="7" fillId="2" borderId="56" xfId="0" applyFont="1" applyFill="1" applyBorder="1" applyAlignment="1">
      <alignment horizontal="center" vertical="center" wrapText="1"/>
    </xf>
    <xf numFmtId="0" fontId="0" fillId="0" borderId="38" xfId="0" applyFont="1" applyBorder="1" applyAlignment="1">
      <alignment horizontal="center" vertical="center" wrapText="1"/>
    </xf>
    <xf numFmtId="4" fontId="7" fillId="0" borderId="38" xfId="0" applyNumberFormat="1" applyFont="1" applyBorder="1" applyAlignment="1">
      <alignment horizontal="center" vertical="center" wrapText="1"/>
    </xf>
    <xf numFmtId="4" fontId="7" fillId="0" borderId="23" xfId="0" applyNumberFormat="1" applyFont="1" applyBorder="1" applyAlignment="1">
      <alignment horizontal="center" vertical="center" wrapText="1"/>
    </xf>
    <xf numFmtId="4" fontId="7" fillId="0" borderId="7" xfId="0" applyNumberFormat="1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171" fontId="7" fillId="59" borderId="7" xfId="0" applyNumberFormat="1" applyFont="1" applyFill="1" applyBorder="1" applyAlignment="1">
      <alignment horizontal="center" wrapText="1"/>
    </xf>
    <xf numFmtId="4" fontId="7" fillId="59" borderId="38" xfId="0" applyNumberFormat="1" applyFont="1" applyFill="1" applyBorder="1" applyAlignment="1">
      <alignment horizontal="center" vertical="center" wrapText="1"/>
    </xf>
    <xf numFmtId="4" fontId="7" fillId="59" borderId="23" xfId="0" applyNumberFormat="1" applyFont="1" applyFill="1" applyBorder="1" applyAlignment="1">
      <alignment horizontal="center" vertical="center" wrapText="1"/>
    </xf>
    <xf numFmtId="171" fontId="7" fillId="59" borderId="38" xfId="0" applyNumberFormat="1" applyFont="1" applyFill="1" applyBorder="1" applyAlignment="1">
      <alignment horizontal="center" wrapText="1"/>
    </xf>
    <xf numFmtId="171" fontId="7" fillId="59" borderId="23" xfId="0" applyNumberFormat="1" applyFont="1" applyFill="1" applyBorder="1" applyAlignment="1">
      <alignment horizontal="center" wrapText="1"/>
    </xf>
    <xf numFmtId="0" fontId="6" fillId="0" borderId="12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6" fillId="0" borderId="25" xfId="0" applyNumberFormat="1" applyFont="1" applyBorder="1" applyAlignment="1">
      <alignment horizontal="center"/>
    </xf>
    <xf numFmtId="0" fontId="7" fillId="0" borderId="39" xfId="0" applyFont="1" applyBorder="1" applyAlignment="1">
      <alignment horizontal="left"/>
    </xf>
    <xf numFmtId="0" fontId="7" fillId="0" borderId="14" xfId="0" applyFont="1" applyBorder="1" applyAlignment="1">
      <alignment horizontal="left"/>
    </xf>
    <xf numFmtId="0" fontId="0" fillId="0" borderId="7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wrapText="1"/>
    </xf>
    <xf numFmtId="0" fontId="0" fillId="0" borderId="1" xfId="0" applyFont="1" applyBorder="1" applyAlignment="1"/>
    <xf numFmtId="0" fontId="0" fillId="0" borderId="2" xfId="0" applyFont="1" applyBorder="1" applyAlignment="1"/>
    <xf numFmtId="0" fontId="0" fillId="0" borderId="3" xfId="0" applyFont="1" applyBorder="1" applyAlignment="1"/>
    <xf numFmtId="0" fontId="0" fillId="0" borderId="5" xfId="0" applyFont="1" applyBorder="1" applyAlignment="1"/>
    <xf numFmtId="0" fontId="0" fillId="0" borderId="0" xfId="0" applyFont="1" applyBorder="1" applyAlignment="1"/>
    <xf numFmtId="0" fontId="0" fillId="0" borderId="6" xfId="0" applyFont="1" applyBorder="1" applyAlignment="1"/>
    <xf numFmtId="0" fontId="0" fillId="0" borderId="9" xfId="0" applyFont="1" applyBorder="1" applyAlignment="1"/>
    <xf numFmtId="0" fontId="0" fillId="0" borderId="10" xfId="0" applyFont="1" applyBorder="1" applyAlignment="1"/>
    <xf numFmtId="0" fontId="0" fillId="0" borderId="11" xfId="0" applyFont="1" applyBorder="1" applyAlignment="1"/>
    <xf numFmtId="0" fontId="1" fillId="0" borderId="4" xfId="0" applyFont="1" applyBorder="1" applyAlignment="1">
      <alignment horizontal="center" vertical="center" wrapText="1"/>
    </xf>
    <xf numFmtId="0" fontId="0" fillId="0" borderId="4" xfId="0" applyFont="1" applyBorder="1" applyAlignment="1"/>
    <xf numFmtId="0" fontId="0" fillId="0" borderId="7" xfId="0" applyFont="1" applyBorder="1" applyAlignment="1"/>
    <xf numFmtId="0" fontId="7" fillId="0" borderId="18" xfId="0" applyFont="1" applyBorder="1" applyAlignment="1">
      <alignment horizontal="right"/>
    </xf>
    <xf numFmtId="0" fontId="0" fillId="0" borderId="19" xfId="0" applyFont="1" applyBorder="1" applyAlignment="1">
      <alignment horizontal="right"/>
    </xf>
    <xf numFmtId="0" fontId="0" fillId="0" borderId="20" xfId="0" applyFont="1" applyBorder="1" applyAlignment="1">
      <alignment horizontal="right"/>
    </xf>
    <xf numFmtId="0" fontId="7" fillId="0" borderId="21" xfId="0" applyFont="1" applyBorder="1" applyAlignment="1">
      <alignment horizontal="right"/>
    </xf>
    <xf numFmtId="0" fontId="7" fillId="0" borderId="22" xfId="0" applyFont="1" applyBorder="1" applyAlignment="1">
      <alignment horizontal="right"/>
    </xf>
    <xf numFmtId="0" fontId="0" fillId="0" borderId="23" xfId="0" applyFont="1" applyBorder="1" applyAlignment="1">
      <alignment horizontal="right"/>
    </xf>
    <xf numFmtId="14" fontId="6" fillId="0" borderId="7" xfId="0" applyNumberFormat="1" applyFont="1" applyBorder="1" applyAlignment="1">
      <alignment horizontal="center"/>
    </xf>
    <xf numFmtId="0" fontId="7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 wrapText="1"/>
    </xf>
    <xf numFmtId="0" fontId="0" fillId="0" borderId="12" xfId="0" applyFont="1" applyBorder="1" applyAlignment="1">
      <alignment wrapText="1"/>
    </xf>
    <xf numFmtId="0" fontId="7" fillId="2" borderId="7" xfId="0" applyNumberFormat="1" applyFont="1" applyFill="1" applyBorder="1" applyAlignment="1">
      <alignment horizontal="center" vertical="center"/>
    </xf>
    <xf numFmtId="0" fontId="0" fillId="0" borderId="12" xfId="0" applyFont="1" applyBorder="1" applyAlignment="1"/>
    <xf numFmtId="0" fontId="0" fillId="0" borderId="12" xfId="0" applyFont="1" applyBorder="1" applyAlignment="1">
      <alignment horizontal="center"/>
    </xf>
    <xf numFmtId="0" fontId="7" fillId="0" borderId="24" xfId="0" applyFont="1" applyBorder="1" applyAlignment="1">
      <alignment horizontal="right"/>
    </xf>
    <xf numFmtId="0" fontId="7" fillId="0" borderId="13" xfId="0" applyFont="1" applyBorder="1" applyAlignment="1">
      <alignment horizontal="right"/>
    </xf>
    <xf numFmtId="0" fontId="0" fillId="0" borderId="14" xfId="0" applyFont="1" applyBorder="1" applyAlignment="1">
      <alignment horizontal="right"/>
    </xf>
    <xf numFmtId="0" fontId="7" fillId="0" borderId="38" xfId="0" applyFont="1" applyBorder="1" applyAlignment="1">
      <alignment horizontal="left"/>
    </xf>
    <xf numFmtId="0" fontId="7" fillId="0" borderId="23" xfId="0" applyFont="1" applyBorder="1" applyAlignment="1">
      <alignment horizontal="left"/>
    </xf>
    <xf numFmtId="171" fontId="7" fillId="59" borderId="38" xfId="0" applyNumberFormat="1" applyFont="1" applyFill="1" applyBorder="1" applyAlignment="1">
      <alignment horizontal="center"/>
    </xf>
    <xf numFmtId="171" fontId="7" fillId="59" borderId="23" xfId="0" applyNumberFormat="1" applyFont="1" applyFill="1" applyBorder="1" applyAlignment="1">
      <alignment horizontal="center"/>
    </xf>
    <xf numFmtId="0" fontId="9" fillId="3" borderId="7" xfId="0" applyFont="1" applyFill="1" applyBorder="1" applyAlignment="1">
      <alignment horizontal="left"/>
    </xf>
    <xf numFmtId="0" fontId="7" fillId="0" borderId="50" xfId="0" applyFont="1" applyBorder="1" applyAlignment="1">
      <alignment horizontal="center" vertical="top" wrapText="1"/>
    </xf>
    <xf numFmtId="0" fontId="7" fillId="0" borderId="51" xfId="0" applyFont="1" applyBorder="1" applyAlignment="1">
      <alignment horizontal="center" vertical="top" wrapText="1"/>
    </xf>
    <xf numFmtId="0" fontId="29" fillId="0" borderId="7" xfId="0" applyNumberFormat="1" applyFont="1" applyBorder="1" applyAlignment="1">
      <alignment horizontal="center"/>
    </xf>
    <xf numFmtId="9" fontId="29" fillId="0" borderId="7" xfId="0" applyNumberFormat="1" applyFont="1" applyBorder="1" applyAlignment="1">
      <alignment horizontal="center"/>
    </xf>
    <xf numFmtId="9" fontId="1" fillId="0" borderId="7" xfId="0" applyNumberFormat="1" applyFont="1" applyBorder="1" applyAlignment="1">
      <alignment horizontal="center"/>
    </xf>
    <xf numFmtId="0" fontId="9" fillId="2" borderId="61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0" fillId="0" borderId="61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6" fillId="0" borderId="6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7" fillId="0" borderId="6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14" fontId="6" fillId="0" borderId="25" xfId="0" applyNumberFormat="1" applyFont="1" applyBorder="1" applyAlignment="1">
      <alignment horizontal="center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 wrapText="1"/>
    </xf>
    <xf numFmtId="0" fontId="1" fillId="2" borderId="62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29" fillId="0" borderId="7" xfId="0" applyFont="1" applyBorder="1" applyAlignment="1">
      <alignment horizontal="center"/>
    </xf>
    <xf numFmtId="165" fontId="51" fillId="2" borderId="7" xfId="0" applyNumberFormat="1" applyFont="1" applyFill="1" applyBorder="1" applyAlignment="1">
      <alignment horizontal="center"/>
    </xf>
    <xf numFmtId="0" fontId="51" fillId="2" borderId="7" xfId="0" applyFont="1" applyFill="1" applyBorder="1" applyAlignment="1">
      <alignment horizontal="center"/>
    </xf>
  </cellXfs>
  <cellStyles count="155">
    <cellStyle name="20% - Énfasis1" xfId="89" builtinId="30" customBuiltin="1"/>
    <cellStyle name="20% - Énfasis1 2" xfId="12" xr:uid="{00000000-0005-0000-0000-000001000000}"/>
    <cellStyle name="20% - Énfasis1 2 2" xfId="122" xr:uid="{00000000-0005-0000-0000-000002000000}"/>
    <cellStyle name="20% - Énfasis1 3" xfId="11" xr:uid="{00000000-0005-0000-0000-000003000000}"/>
    <cellStyle name="20% - Énfasis2" xfId="93" builtinId="34" customBuiltin="1"/>
    <cellStyle name="20% - Énfasis2 2" xfId="14" xr:uid="{00000000-0005-0000-0000-000005000000}"/>
    <cellStyle name="20% - Énfasis2 2 2" xfId="123" xr:uid="{00000000-0005-0000-0000-000006000000}"/>
    <cellStyle name="20% - Énfasis2 3" xfId="13" xr:uid="{00000000-0005-0000-0000-000007000000}"/>
    <cellStyle name="20% - Énfasis3" xfId="97" builtinId="38" customBuiltin="1"/>
    <cellStyle name="20% - Énfasis3 2" xfId="16" xr:uid="{00000000-0005-0000-0000-000009000000}"/>
    <cellStyle name="20% - Énfasis3 2 2" xfId="124" xr:uid="{00000000-0005-0000-0000-00000A000000}"/>
    <cellStyle name="20% - Énfasis3 3" xfId="15" xr:uid="{00000000-0005-0000-0000-00000B000000}"/>
    <cellStyle name="20% - Énfasis4" xfId="101" builtinId="42" customBuiltin="1"/>
    <cellStyle name="20% - Énfasis4 2" xfId="18" xr:uid="{00000000-0005-0000-0000-00000D000000}"/>
    <cellStyle name="20% - Énfasis4 2 2" xfId="125" xr:uid="{00000000-0005-0000-0000-00000E000000}"/>
    <cellStyle name="20% - Énfasis4 3" xfId="17" xr:uid="{00000000-0005-0000-0000-00000F000000}"/>
    <cellStyle name="20% - Énfasis5" xfId="105" builtinId="46" customBuiltin="1"/>
    <cellStyle name="20% - Énfasis5 2" xfId="20" xr:uid="{00000000-0005-0000-0000-000011000000}"/>
    <cellStyle name="20% - Énfasis5 2 2" xfId="126" xr:uid="{00000000-0005-0000-0000-000012000000}"/>
    <cellStyle name="20% - Énfasis5 3" xfId="19" xr:uid="{00000000-0005-0000-0000-000013000000}"/>
    <cellStyle name="20% - Énfasis6" xfId="109" builtinId="50" customBuiltin="1"/>
    <cellStyle name="20% - Énfasis6 2" xfId="22" xr:uid="{00000000-0005-0000-0000-000015000000}"/>
    <cellStyle name="20% - Énfasis6 2 2" xfId="127" xr:uid="{00000000-0005-0000-0000-000016000000}"/>
    <cellStyle name="20% - Énfasis6 3" xfId="21" xr:uid="{00000000-0005-0000-0000-000017000000}"/>
    <cellStyle name="40% - Énfasis1" xfId="90" builtinId="31" customBuiltin="1"/>
    <cellStyle name="40% - Énfasis1 2" xfId="24" xr:uid="{00000000-0005-0000-0000-000019000000}"/>
    <cellStyle name="40% - Énfasis1 2 2" xfId="128" xr:uid="{00000000-0005-0000-0000-00001A000000}"/>
    <cellStyle name="40% - Énfasis1 3" xfId="23" xr:uid="{00000000-0005-0000-0000-00001B000000}"/>
    <cellStyle name="40% - Énfasis2" xfId="94" builtinId="35" customBuiltin="1"/>
    <cellStyle name="40% - Énfasis2 2" xfId="26" xr:uid="{00000000-0005-0000-0000-00001D000000}"/>
    <cellStyle name="40% - Énfasis2 2 2" xfId="129" xr:uid="{00000000-0005-0000-0000-00001E000000}"/>
    <cellStyle name="40% - Énfasis2 3" xfId="25" xr:uid="{00000000-0005-0000-0000-00001F000000}"/>
    <cellStyle name="40% - Énfasis3" xfId="98" builtinId="39" customBuiltin="1"/>
    <cellStyle name="40% - Énfasis3 2" xfId="28" xr:uid="{00000000-0005-0000-0000-000021000000}"/>
    <cellStyle name="40% - Énfasis3 2 2" xfId="130" xr:uid="{00000000-0005-0000-0000-000022000000}"/>
    <cellStyle name="40% - Énfasis3 3" xfId="27" xr:uid="{00000000-0005-0000-0000-000023000000}"/>
    <cellStyle name="40% - Énfasis4" xfId="102" builtinId="43" customBuiltin="1"/>
    <cellStyle name="40% - Énfasis4 2" xfId="30" xr:uid="{00000000-0005-0000-0000-000025000000}"/>
    <cellStyle name="40% - Énfasis4 2 2" xfId="131" xr:uid="{00000000-0005-0000-0000-000026000000}"/>
    <cellStyle name="40% - Énfasis4 3" xfId="29" xr:uid="{00000000-0005-0000-0000-000027000000}"/>
    <cellStyle name="40% - Énfasis5" xfId="106" builtinId="47" customBuiltin="1"/>
    <cellStyle name="40% - Énfasis5 2" xfId="32" xr:uid="{00000000-0005-0000-0000-000029000000}"/>
    <cellStyle name="40% - Énfasis5 2 2" xfId="132" xr:uid="{00000000-0005-0000-0000-00002A000000}"/>
    <cellStyle name="40% - Énfasis5 3" xfId="31" xr:uid="{00000000-0005-0000-0000-00002B000000}"/>
    <cellStyle name="40% - Énfasis6" xfId="110" builtinId="51" customBuiltin="1"/>
    <cellStyle name="40% - Énfasis6 2" xfId="34" xr:uid="{00000000-0005-0000-0000-00002D000000}"/>
    <cellStyle name="40% - Énfasis6 2 2" xfId="133" xr:uid="{00000000-0005-0000-0000-00002E000000}"/>
    <cellStyle name="40% - Énfasis6 3" xfId="33" xr:uid="{00000000-0005-0000-0000-00002F000000}"/>
    <cellStyle name="60% - Énfasis1" xfId="91" builtinId="32" customBuiltin="1"/>
    <cellStyle name="60% - Énfasis1 2" xfId="35" xr:uid="{00000000-0005-0000-0000-000031000000}"/>
    <cellStyle name="60% - Énfasis1 2 2" xfId="134" xr:uid="{00000000-0005-0000-0000-000032000000}"/>
    <cellStyle name="60% - Énfasis2" xfId="95" builtinId="36" customBuiltin="1"/>
    <cellStyle name="60% - Énfasis2 2" xfId="36" xr:uid="{00000000-0005-0000-0000-000034000000}"/>
    <cellStyle name="60% - Énfasis2 2 2" xfId="135" xr:uid="{00000000-0005-0000-0000-000035000000}"/>
    <cellStyle name="60% - Énfasis3" xfId="99" builtinId="40" customBuiltin="1"/>
    <cellStyle name="60% - Énfasis3 2" xfId="37" xr:uid="{00000000-0005-0000-0000-000037000000}"/>
    <cellStyle name="60% - Énfasis3 2 2" xfId="136" xr:uid="{00000000-0005-0000-0000-000038000000}"/>
    <cellStyle name="60% - Énfasis4" xfId="103" builtinId="44" customBuiltin="1"/>
    <cellStyle name="60% - Énfasis4 2" xfId="38" xr:uid="{00000000-0005-0000-0000-00003A000000}"/>
    <cellStyle name="60% - Énfasis4 2 2" xfId="137" xr:uid="{00000000-0005-0000-0000-00003B000000}"/>
    <cellStyle name="60% - Énfasis5" xfId="107" builtinId="48" customBuiltin="1"/>
    <cellStyle name="60% - Énfasis5 2" xfId="39" xr:uid="{00000000-0005-0000-0000-00003D000000}"/>
    <cellStyle name="60% - Énfasis5 2 2" xfId="138" xr:uid="{00000000-0005-0000-0000-00003E000000}"/>
    <cellStyle name="60% - Énfasis6" xfId="111" builtinId="52" customBuiltin="1"/>
    <cellStyle name="60% - Énfasis6 2" xfId="40" xr:uid="{00000000-0005-0000-0000-000040000000}"/>
    <cellStyle name="60% - Énfasis6 2 2" xfId="139" xr:uid="{00000000-0005-0000-0000-000041000000}"/>
    <cellStyle name="Bueno" xfId="77" builtinId="26" customBuiltin="1"/>
    <cellStyle name="Cálculo" xfId="82" builtinId="22" customBuiltin="1"/>
    <cellStyle name="Cálculo 2" xfId="41" xr:uid="{00000000-0005-0000-0000-000044000000}"/>
    <cellStyle name="Celda de comprobación" xfId="84" builtinId="23" customBuiltin="1"/>
    <cellStyle name="Celda de comprobación 2" xfId="42" xr:uid="{00000000-0005-0000-0000-000046000000}"/>
    <cellStyle name="Celda vinculada" xfId="83" builtinId="24" customBuiltin="1"/>
    <cellStyle name="Celda vinculada 2" xfId="43" xr:uid="{00000000-0005-0000-0000-000048000000}"/>
    <cellStyle name="Encabezado 1" xfId="73" builtinId="16" customBuiltin="1"/>
    <cellStyle name="Encabezado 1 2" xfId="44" xr:uid="{00000000-0005-0000-0000-000049000000}"/>
    <cellStyle name="Encabezado 4" xfId="76" builtinId="19" customBuiltin="1"/>
    <cellStyle name="Encabezado 4 2" xfId="45" xr:uid="{00000000-0005-0000-0000-00004B000000}"/>
    <cellStyle name="Énfasis1" xfId="88" builtinId="29" customBuiltin="1"/>
    <cellStyle name="Énfasis1 2" xfId="46" xr:uid="{00000000-0005-0000-0000-00004D000000}"/>
    <cellStyle name="Énfasis2" xfId="92" builtinId="33" customBuiltin="1"/>
    <cellStyle name="Énfasis2 2" xfId="47" xr:uid="{00000000-0005-0000-0000-00004F000000}"/>
    <cellStyle name="Énfasis3" xfId="96" builtinId="37" customBuiltin="1"/>
    <cellStyle name="Énfasis3 2" xfId="48" xr:uid="{00000000-0005-0000-0000-000051000000}"/>
    <cellStyle name="Énfasis4" xfId="100" builtinId="41" customBuiltin="1"/>
    <cellStyle name="Énfasis4 2" xfId="49" xr:uid="{00000000-0005-0000-0000-000053000000}"/>
    <cellStyle name="Énfasis5" xfId="104" builtinId="45" customBuiltin="1"/>
    <cellStyle name="Énfasis5 2" xfId="50" xr:uid="{00000000-0005-0000-0000-000055000000}"/>
    <cellStyle name="Énfasis6" xfId="108" builtinId="49" customBuiltin="1"/>
    <cellStyle name="Énfasis6 2" xfId="51" xr:uid="{00000000-0005-0000-0000-000057000000}"/>
    <cellStyle name="Entrada" xfId="80" builtinId="20" customBuiltin="1"/>
    <cellStyle name="Entrada 2" xfId="52" xr:uid="{00000000-0005-0000-0000-000059000000}"/>
    <cellStyle name="Estilo 1" xfId="53" xr:uid="{00000000-0005-0000-0000-00005A000000}"/>
    <cellStyle name="Incorrecto" xfId="78" builtinId="27" customBuiltin="1"/>
    <cellStyle name="Incorrecto 2" xfId="54" xr:uid="{00000000-0005-0000-0000-00005C000000}"/>
    <cellStyle name="Millares 2" xfId="55" xr:uid="{00000000-0005-0000-0000-00005D000000}"/>
    <cellStyle name="Moneda" xfId="71" builtinId="4"/>
    <cellStyle name="Moneda [0] 2" xfId="117" xr:uid="{00000000-0005-0000-0000-00005F000000}"/>
    <cellStyle name="Moneda [0] 3" xfId="141" xr:uid="{00000000-0005-0000-0000-000060000000}"/>
    <cellStyle name="Moneda 10" xfId="146" xr:uid="{00000000-0005-0000-0000-000061000000}"/>
    <cellStyle name="Moneda 11" xfId="150" xr:uid="{00000000-0005-0000-0000-000062000000}"/>
    <cellStyle name="Moneda 12" xfId="151" xr:uid="{00000000-0005-0000-0000-000063000000}"/>
    <cellStyle name="Moneda 13" xfId="152" xr:uid="{00000000-0005-0000-0000-000064000000}"/>
    <cellStyle name="Moneda 14" xfId="153" xr:uid="{00000000-0005-0000-0000-000065000000}"/>
    <cellStyle name="Moneda 15" xfId="154" xr:uid="{00000000-0005-0000-0000-000066000000}"/>
    <cellStyle name="Moneda 2" xfId="1" xr:uid="{00000000-0005-0000-0000-000067000000}"/>
    <cellStyle name="Moneda 2 2" xfId="116" xr:uid="{00000000-0005-0000-0000-000068000000}"/>
    <cellStyle name="Moneda 2 3" xfId="147" xr:uid="{00000000-0005-0000-0000-000069000000}"/>
    <cellStyle name="Moneda 3" xfId="7" xr:uid="{00000000-0005-0000-0000-00006A000000}"/>
    <cellStyle name="Moneda 3 2" xfId="114" xr:uid="{00000000-0005-0000-0000-00006B000000}"/>
    <cellStyle name="Moneda 4" xfId="56" xr:uid="{00000000-0005-0000-0000-00006C000000}"/>
    <cellStyle name="Moneda 4 2" xfId="119" xr:uid="{00000000-0005-0000-0000-00006D000000}"/>
    <cellStyle name="Moneda 5" xfId="115" xr:uid="{00000000-0005-0000-0000-00006E000000}"/>
    <cellStyle name="Moneda 6" xfId="120" xr:uid="{00000000-0005-0000-0000-00006F000000}"/>
    <cellStyle name="Moneda 6 2" xfId="145" xr:uid="{00000000-0005-0000-0000-000070000000}"/>
    <cellStyle name="Moneda 7" xfId="140" xr:uid="{00000000-0005-0000-0000-000071000000}"/>
    <cellStyle name="Moneda 8" xfId="144" xr:uid="{00000000-0005-0000-0000-000072000000}"/>
    <cellStyle name="Moneda 9" xfId="148" xr:uid="{00000000-0005-0000-0000-000073000000}"/>
    <cellStyle name="Neutral" xfId="79" builtinId="28" customBuiltin="1"/>
    <cellStyle name="Neutral 2" xfId="57" xr:uid="{00000000-0005-0000-0000-000075000000}"/>
    <cellStyle name="Normal" xfId="0" builtinId="0"/>
    <cellStyle name="Normal 2" xfId="4" xr:uid="{00000000-0005-0000-0000-000077000000}"/>
    <cellStyle name="Normal 2 2" xfId="8" xr:uid="{00000000-0005-0000-0000-000078000000}"/>
    <cellStyle name="Normal 2 2 2" xfId="59" xr:uid="{00000000-0005-0000-0000-000079000000}"/>
    <cellStyle name="Normal 2 3" xfId="58" xr:uid="{00000000-0005-0000-0000-00007A000000}"/>
    <cellStyle name="Normal 2 4" xfId="113" xr:uid="{00000000-0005-0000-0000-00007B000000}"/>
    <cellStyle name="Normal 3" xfId="5" xr:uid="{00000000-0005-0000-0000-00007C000000}"/>
    <cellStyle name="Normal 3 2" xfId="9" xr:uid="{00000000-0005-0000-0000-00007D000000}"/>
    <cellStyle name="Normal 3 2 2" xfId="143" xr:uid="{00000000-0005-0000-0000-00007E000000}"/>
    <cellStyle name="Normal 3 3" xfId="60" xr:uid="{00000000-0005-0000-0000-00007F000000}"/>
    <cellStyle name="Normal 3 4" xfId="121" xr:uid="{00000000-0005-0000-0000-000080000000}"/>
    <cellStyle name="Normal 4" xfId="6" xr:uid="{00000000-0005-0000-0000-000081000000}"/>
    <cellStyle name="Normal 5" xfId="10" xr:uid="{00000000-0005-0000-0000-000082000000}"/>
    <cellStyle name="Normal 5 2" xfId="149" xr:uid="{00000000-0005-0000-0000-000083000000}"/>
    <cellStyle name="Normal 6" xfId="112" xr:uid="{00000000-0005-0000-0000-000084000000}"/>
    <cellStyle name="Notas 2" xfId="62" xr:uid="{00000000-0005-0000-0000-000085000000}"/>
    <cellStyle name="Notas 2 2" xfId="118" xr:uid="{00000000-0005-0000-0000-000086000000}"/>
    <cellStyle name="Notas 3" xfId="61" xr:uid="{00000000-0005-0000-0000-000087000000}"/>
    <cellStyle name="Notas 3 2" xfId="142" xr:uid="{00000000-0005-0000-0000-000088000000}"/>
    <cellStyle name="Porcentaje" xfId="3" builtinId="5"/>
    <cellStyle name="Porcentaje 2" xfId="2" xr:uid="{00000000-0005-0000-0000-000089000000}"/>
    <cellStyle name="Porcentaje 3" xfId="63" xr:uid="{00000000-0005-0000-0000-00008A000000}"/>
    <cellStyle name="Salida" xfId="81" builtinId="21" customBuiltin="1"/>
    <cellStyle name="Salida 2" xfId="64" xr:uid="{00000000-0005-0000-0000-00008D000000}"/>
    <cellStyle name="Texto de advertencia" xfId="85" builtinId="11" customBuiltin="1"/>
    <cellStyle name="Texto de advertencia 2" xfId="65" xr:uid="{00000000-0005-0000-0000-00008F000000}"/>
    <cellStyle name="Texto explicativo" xfId="86" builtinId="53" customBuiltin="1"/>
    <cellStyle name="Texto explicativo 2" xfId="66" xr:uid="{00000000-0005-0000-0000-000091000000}"/>
    <cellStyle name="Título" xfId="72" builtinId="15" customBuiltin="1"/>
    <cellStyle name="Título 2" xfId="74" builtinId="17" customBuiltin="1"/>
    <cellStyle name="Título 2 2" xfId="68" xr:uid="{00000000-0005-0000-0000-000095000000}"/>
    <cellStyle name="Título 3" xfId="75" builtinId="18" customBuiltin="1"/>
    <cellStyle name="Título 3 2" xfId="69" xr:uid="{00000000-0005-0000-0000-000097000000}"/>
    <cellStyle name="Título 4" xfId="67" xr:uid="{00000000-0005-0000-0000-000098000000}"/>
    <cellStyle name="Total" xfId="87" builtinId="25" customBuiltin="1"/>
    <cellStyle name="Total 2" xfId="70" xr:uid="{00000000-0005-0000-0000-00009A000000}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s-ES"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s-ES"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COMPARATIVO!$F$56:$Q$56</c:f>
              <c:strCache>
                <c:ptCount val="7"/>
                <c:pt idx="0">
                  <c:v>ELECTROINDUSTRIALES SJ</c:v>
                </c:pt>
                <c:pt idx="2">
                  <c:v>INTERNACIONAL DE ELECTRICOS</c:v>
                </c:pt>
                <c:pt idx="4">
                  <c:v>ELECTRICOS HR</c:v>
                </c:pt>
                <c:pt idx="6">
                  <c:v>SAS</c:v>
                </c:pt>
              </c:strCache>
            </c:strRef>
          </c:cat>
          <c:val>
            <c:numRef>
              <c:f>COMPARATIVO!$F$64:$Q$64</c:f>
              <c:numCache>
                <c:formatCode>0.0%</c:formatCode>
                <c:ptCount val="8"/>
                <c:pt idx="0">
                  <c:v>3.4307607771764439E-6</c:v>
                </c:pt>
                <c:pt idx="2">
                  <c:v>0.33488366220679533</c:v>
                </c:pt>
                <c:pt idx="4" formatCode="0%">
                  <c:v>0.33022924482563221</c:v>
                </c:pt>
                <c:pt idx="6" formatCode="0%">
                  <c:v>0.33488366220679533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7-48CE-BA77-6B010F6005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1177728"/>
        <c:axId val="51257344"/>
      </c:barChart>
      <c:catAx>
        <c:axId val="51177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s-ES"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257344"/>
        <c:crosses val="autoZero"/>
        <c:auto val="1"/>
        <c:lblAlgn val="ctr"/>
        <c:lblOffset val="100"/>
        <c:noMultiLvlLbl val="0"/>
      </c:catAx>
      <c:valAx>
        <c:axId val="51257344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crossAx val="51177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28576</xdr:rowOff>
    </xdr:from>
    <xdr:to>
      <xdr:col>3</xdr:col>
      <xdr:colOff>248770</xdr:colOff>
      <xdr:row>3</xdr:row>
      <xdr:rowOff>66676</xdr:rowOff>
    </xdr:to>
    <xdr:pic>
      <xdr:nvPicPr>
        <xdr:cNvPr id="2" name="Picture 68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228601"/>
          <a:ext cx="27813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1245053</xdr:colOff>
      <xdr:row>67</xdr:row>
      <xdr:rowOff>29936</xdr:rowOff>
    </xdr:from>
    <xdr:to>
      <xdr:col>17</xdr:col>
      <xdr:colOff>585106</xdr:colOff>
      <xdr:row>89</xdr:row>
      <xdr:rowOff>136072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C79FBD0-C6A6-492F-90C8-E39B0DE9119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W53"/>
  <sheetViews>
    <sheetView topLeftCell="I13" workbookViewId="0">
      <selection activeCell="S54" sqref="S54"/>
    </sheetView>
  </sheetViews>
  <sheetFormatPr baseColWidth="10" defaultRowHeight="15"/>
  <cols>
    <col min="3" max="3" width="25.140625" customWidth="1"/>
    <col min="4" max="10" width="14.28515625" customWidth="1"/>
    <col min="12" max="12" width="29.140625" customWidth="1"/>
    <col min="16" max="16" width="11.85546875" bestFit="1" customWidth="1"/>
    <col min="17" max="17" width="12" bestFit="1" customWidth="1"/>
    <col min="19" max="19" width="38.42578125" bestFit="1" customWidth="1"/>
  </cols>
  <sheetData>
    <row r="1" spans="2:23" ht="15.75" thickBot="1">
      <c r="B1" s="161" t="s">
        <v>85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</row>
    <row r="2" spans="2:23" ht="15" customHeight="1">
      <c r="B2" s="133" t="s">
        <v>86</v>
      </c>
      <c r="C2" s="134"/>
      <c r="D2" s="134"/>
      <c r="E2" s="134"/>
      <c r="F2" s="134"/>
      <c r="G2" s="134"/>
      <c r="H2" s="134"/>
      <c r="I2" s="134"/>
      <c r="J2" s="134"/>
      <c r="K2" s="134"/>
      <c r="L2" s="135"/>
      <c r="N2" s="147" t="s">
        <v>84</v>
      </c>
      <c r="O2" s="148"/>
      <c r="P2" s="148"/>
      <c r="Q2" s="149"/>
      <c r="R2" s="87" t="s">
        <v>83</v>
      </c>
      <c r="S2" s="86" t="s">
        <v>82</v>
      </c>
    </row>
    <row r="3" spans="2:23" ht="15" customHeight="1">
      <c r="B3" s="136"/>
      <c r="C3" s="137"/>
      <c r="D3" s="137"/>
      <c r="E3" s="137"/>
      <c r="F3" s="137"/>
      <c r="G3" s="137"/>
      <c r="H3" s="137"/>
      <c r="I3" s="137"/>
      <c r="J3" s="137"/>
      <c r="K3" s="137"/>
      <c r="L3" s="138"/>
      <c r="N3" s="150" t="s">
        <v>81</v>
      </c>
      <c r="O3" s="151"/>
      <c r="P3" s="74"/>
      <c r="Q3" s="74"/>
      <c r="R3" s="80">
        <v>1</v>
      </c>
      <c r="S3" s="72" t="s">
        <v>80</v>
      </c>
    </row>
    <row r="4" spans="2:23">
      <c r="B4" s="162" t="s">
        <v>79</v>
      </c>
      <c r="C4" s="152"/>
      <c r="D4" s="155" t="s">
        <v>87</v>
      </c>
      <c r="E4" s="155" t="s">
        <v>88</v>
      </c>
      <c r="F4" s="155" t="s">
        <v>89</v>
      </c>
      <c r="G4" s="155" t="s">
        <v>78</v>
      </c>
      <c r="H4" s="155" t="s">
        <v>89</v>
      </c>
      <c r="I4" s="155" t="s">
        <v>88</v>
      </c>
      <c r="J4" s="155" t="s">
        <v>90</v>
      </c>
      <c r="K4" s="152" t="s">
        <v>33</v>
      </c>
      <c r="L4" s="153"/>
      <c r="N4" s="85" t="s">
        <v>77</v>
      </c>
      <c r="O4" s="84" t="s">
        <v>76</v>
      </c>
      <c r="P4" s="83" t="s">
        <v>75</v>
      </c>
      <c r="Q4" s="74"/>
      <c r="R4" s="80">
        <v>3</v>
      </c>
      <c r="S4" s="72" t="s">
        <v>74</v>
      </c>
    </row>
    <row r="5" spans="2:23" ht="34.5" customHeight="1">
      <c r="B5" s="162"/>
      <c r="C5" s="152"/>
      <c r="D5" s="155"/>
      <c r="E5" s="155"/>
      <c r="F5" s="155"/>
      <c r="G5" s="155"/>
      <c r="H5" s="155"/>
      <c r="I5" s="155"/>
      <c r="J5" s="155"/>
      <c r="K5" s="152"/>
      <c r="L5" s="153"/>
      <c r="N5" s="82" t="s">
        <v>68</v>
      </c>
      <c r="O5" s="81" t="s">
        <v>67</v>
      </c>
      <c r="P5" s="75">
        <f>IF(D7=1,7,IF(E7=1,5,IF(F7=1,3,IF(G7=1,1,IF(H7=1,1/3,IF(I7=1,1/5,IF(J7=1,1/7,)))))))</f>
        <v>1</v>
      </c>
      <c r="Q5" s="74"/>
      <c r="R5" s="80">
        <v>5</v>
      </c>
      <c r="S5" s="72" t="s">
        <v>73</v>
      </c>
    </row>
    <row r="6" spans="2:23">
      <c r="B6" s="66"/>
      <c r="L6" s="65"/>
      <c r="N6" s="76" t="s">
        <v>68</v>
      </c>
      <c r="O6" s="46" t="s">
        <v>66</v>
      </c>
      <c r="P6" s="75">
        <f>IF(D10=1,7,IF(E10=1,5,IF(F10=1,3,IF(G10=1,1,IF(H10=1,1/3,IF(I10=1,1/5,IF(J10=1,1/7,)))))))</f>
        <v>1</v>
      </c>
      <c r="Q6" s="74"/>
      <c r="R6" s="80">
        <v>7</v>
      </c>
      <c r="S6" s="72" t="s">
        <v>72</v>
      </c>
    </row>
    <row r="7" spans="2:23">
      <c r="B7" s="139" t="str">
        <f>COMPARATIVO!F11</f>
        <v>ELECTROINDUSTRIALES SJ</v>
      </c>
      <c r="C7" s="140"/>
      <c r="D7" s="79">
        <v>0</v>
      </c>
      <c r="E7" s="79">
        <v>0</v>
      </c>
      <c r="F7" s="79">
        <v>0</v>
      </c>
      <c r="G7" s="78">
        <v>1</v>
      </c>
      <c r="H7" s="77">
        <v>0</v>
      </c>
      <c r="I7" s="77">
        <v>0</v>
      </c>
      <c r="J7" s="77">
        <v>0</v>
      </c>
      <c r="K7" s="141" t="str">
        <f>COMPARATIVO!H11</f>
        <v>INTERNACIONAL DE ELECTRICOS</v>
      </c>
      <c r="L7" s="142"/>
      <c r="N7" s="76" t="s">
        <v>68</v>
      </c>
      <c r="O7" s="46" t="s">
        <v>92</v>
      </c>
      <c r="P7" s="75">
        <f>IF(D13=1,7,IF(E13=1,5,IF(F13=1,3,IF(G13=1,1,IF(H13=1,1/3,IF(I13=1,1/5,IF(J13=1,1/7,)))))))</f>
        <v>1</v>
      </c>
      <c r="Q7" s="74"/>
      <c r="R7" s="131"/>
      <c r="S7" s="132"/>
    </row>
    <row r="8" spans="2:23">
      <c r="B8" s="123"/>
      <c r="C8" s="124"/>
      <c r="K8" s="124"/>
      <c r="L8" s="126"/>
      <c r="N8" s="108" t="s">
        <v>67</v>
      </c>
      <c r="O8" s="109" t="s">
        <v>66</v>
      </c>
      <c r="P8" s="75">
        <f>IF(D16=1,7,IF(E16=1,5,IF(F16=1,3,IF(G16=1,1,IF(H16=1,1/3,IF(I16=1,1/5,IF(J16=1,1/7,)))))))</f>
        <v>1</v>
      </c>
      <c r="R8" s="73">
        <v>0.33333333333333331</v>
      </c>
      <c r="S8" s="72" t="s">
        <v>71</v>
      </c>
    </row>
    <row r="9" spans="2:23">
      <c r="B9" s="123"/>
      <c r="C9" s="124"/>
      <c r="K9" s="124"/>
      <c r="L9" s="126"/>
      <c r="N9" s="108" t="s">
        <v>67</v>
      </c>
      <c r="O9" s="109" t="s">
        <v>92</v>
      </c>
      <c r="P9" s="75">
        <f>IF(D19=1,7,IF(E19=1,5,IF(F19=1,3,IF(G19=1,1,IF(H19=1,1/3,IF(I19=1,1/5,IF(J19=1,1/7,)))))))</f>
        <v>1</v>
      </c>
      <c r="R9" s="73">
        <v>0.2</v>
      </c>
      <c r="S9" s="72" t="s">
        <v>70</v>
      </c>
    </row>
    <row r="10" spans="2:23" ht="15.75" thickBot="1">
      <c r="B10" s="143" t="str">
        <f>B7</f>
        <v>ELECTROINDUSTRIALES SJ</v>
      </c>
      <c r="C10" s="144"/>
      <c r="D10" s="71">
        <v>0</v>
      </c>
      <c r="E10" s="71">
        <v>0</v>
      </c>
      <c r="F10" s="71">
        <v>0</v>
      </c>
      <c r="G10" s="70">
        <v>1</v>
      </c>
      <c r="H10" s="69">
        <v>0</v>
      </c>
      <c r="I10" s="69">
        <v>0</v>
      </c>
      <c r="J10" s="69">
        <v>0</v>
      </c>
      <c r="K10" s="145" t="str">
        <f>COMPARATIVO!J11</f>
        <v>ELECTRICOS HR</v>
      </c>
      <c r="L10" s="146"/>
      <c r="N10" s="108" t="s">
        <v>66</v>
      </c>
      <c r="O10" s="109" t="s">
        <v>92</v>
      </c>
      <c r="P10" s="75">
        <f>IF(D22=1,7,IF(E22=1,5,IF(F22=1,3,IF(G22=1,1,IF(H22=1,1/3,IF(I22=1,1/5,IF(J22=1,1/7,)))))))</f>
        <v>1</v>
      </c>
      <c r="R10" s="68">
        <v>0.14285714285714285</v>
      </c>
      <c r="S10" s="67" t="s">
        <v>69</v>
      </c>
    </row>
    <row r="11" spans="2:23">
      <c r="B11" s="123"/>
      <c r="C11" s="124"/>
      <c r="K11" s="124"/>
      <c r="L11" s="126"/>
    </row>
    <row r="12" spans="2:23">
      <c r="B12" s="123"/>
      <c r="C12" s="124"/>
      <c r="K12" s="124"/>
      <c r="L12" s="126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</row>
    <row r="13" spans="2:23" ht="15.75" thickBot="1">
      <c r="B13" s="156" t="str">
        <f>B10</f>
        <v>ELECTROINDUSTRIALES SJ</v>
      </c>
      <c r="C13" s="157"/>
      <c r="D13" s="64">
        <v>0</v>
      </c>
      <c r="E13" s="64">
        <v>0</v>
      </c>
      <c r="F13" s="64">
        <v>0</v>
      </c>
      <c r="G13" s="63">
        <v>1</v>
      </c>
      <c r="H13" s="62">
        <v>0</v>
      </c>
      <c r="I13" s="62">
        <v>0</v>
      </c>
      <c r="J13" s="62">
        <v>0</v>
      </c>
      <c r="K13" s="158" t="str">
        <f>COMPARATIVO!P11</f>
        <v>SAS</v>
      </c>
      <c r="L13" s="159"/>
      <c r="M13" s="88"/>
      <c r="U13" s="88"/>
      <c r="V13" s="88"/>
      <c r="W13" s="88"/>
    </row>
    <row r="14" spans="2:23">
      <c r="B14" s="100"/>
      <c r="C14" s="101"/>
      <c r="D14" s="101"/>
      <c r="E14" s="101"/>
      <c r="F14" s="101"/>
      <c r="G14" s="101"/>
      <c r="H14" s="101"/>
      <c r="I14" s="101"/>
      <c r="J14" s="101"/>
      <c r="K14" s="101"/>
      <c r="L14" s="102"/>
      <c r="M14" s="88"/>
      <c r="U14" s="88"/>
      <c r="V14" s="88"/>
      <c r="W14" s="88"/>
    </row>
    <row r="15" spans="2:23">
      <c r="B15" s="103"/>
      <c r="C15" s="104"/>
      <c r="D15" s="104"/>
      <c r="E15" s="104"/>
      <c r="F15" s="104"/>
      <c r="G15" s="104"/>
      <c r="H15" s="104"/>
      <c r="I15" s="104"/>
      <c r="J15" s="104"/>
      <c r="K15" s="104"/>
      <c r="L15" s="105"/>
      <c r="M15" s="88"/>
      <c r="U15" s="88"/>
      <c r="V15" s="88"/>
      <c r="W15" s="88"/>
    </row>
    <row r="16" spans="2:23">
      <c r="B16" s="154" t="str">
        <f>K7</f>
        <v>INTERNACIONAL DE ELECTRICOS</v>
      </c>
      <c r="C16" s="154"/>
      <c r="D16" s="129">
        <v>0</v>
      </c>
      <c r="E16" s="129">
        <v>0</v>
      </c>
      <c r="F16" s="129">
        <v>0</v>
      </c>
      <c r="G16" s="110">
        <v>1</v>
      </c>
      <c r="H16" s="130">
        <v>0</v>
      </c>
      <c r="I16" s="130">
        <v>0</v>
      </c>
      <c r="J16" s="130">
        <v>0</v>
      </c>
      <c r="K16" s="154" t="str">
        <f>K10</f>
        <v>ELECTRICOS HR</v>
      </c>
      <c r="L16" s="154"/>
      <c r="M16" s="88"/>
      <c r="U16" s="88"/>
      <c r="V16" s="88"/>
      <c r="W16" s="88"/>
    </row>
    <row r="17" spans="2:23">
      <c r="B17" s="103"/>
      <c r="C17" s="104"/>
      <c r="D17" s="104"/>
      <c r="E17" s="104"/>
      <c r="F17" s="104"/>
      <c r="G17" s="104"/>
      <c r="H17" s="104"/>
      <c r="I17" s="104"/>
      <c r="J17" s="104"/>
      <c r="K17" s="104"/>
      <c r="L17" s="105"/>
      <c r="M17" s="88"/>
      <c r="U17" s="88"/>
      <c r="V17" s="88"/>
      <c r="W17" s="88"/>
    </row>
    <row r="18" spans="2:23">
      <c r="B18" s="103"/>
      <c r="C18" s="104"/>
      <c r="D18" s="104"/>
      <c r="E18" s="104"/>
      <c r="F18" s="104"/>
      <c r="G18" s="104"/>
      <c r="H18" s="104"/>
      <c r="I18" s="104"/>
      <c r="J18" s="104"/>
      <c r="K18" s="104"/>
      <c r="L18" s="105"/>
      <c r="M18" s="88"/>
      <c r="N18" s="88"/>
      <c r="O18" s="106" t="s">
        <v>68</v>
      </c>
      <c r="P18" s="106" t="s">
        <v>67</v>
      </c>
      <c r="Q18" s="106" t="s">
        <v>66</v>
      </c>
      <c r="R18" s="107" t="s">
        <v>92</v>
      </c>
      <c r="S18" s="88"/>
      <c r="T18" s="88"/>
      <c r="U18" s="88"/>
      <c r="V18" s="88"/>
      <c r="W18" s="88"/>
    </row>
    <row r="19" spans="2:23">
      <c r="B19" s="163" t="str">
        <f>K7</f>
        <v>INTERNACIONAL DE ELECTRICOS</v>
      </c>
      <c r="C19" s="164"/>
      <c r="D19" s="71">
        <v>0</v>
      </c>
      <c r="E19" s="71">
        <v>0</v>
      </c>
      <c r="F19" s="71">
        <v>0</v>
      </c>
      <c r="G19" s="58">
        <v>1</v>
      </c>
      <c r="H19" s="69"/>
      <c r="I19" s="69">
        <v>0</v>
      </c>
      <c r="J19" s="69">
        <v>0</v>
      </c>
      <c r="K19" s="160" t="str">
        <f>K13</f>
        <v>SAS</v>
      </c>
      <c r="L19" s="160"/>
      <c r="M19" s="88"/>
      <c r="N19" s="89" t="s">
        <v>68</v>
      </c>
      <c r="O19" s="111">
        <v>1</v>
      </c>
      <c r="P19" s="111">
        <f>P5</f>
        <v>1</v>
      </c>
      <c r="Q19" s="111">
        <f>P6</f>
        <v>1</v>
      </c>
      <c r="R19" s="112">
        <f>P7</f>
        <v>1</v>
      </c>
      <c r="S19" s="91"/>
      <c r="T19" s="91"/>
      <c r="U19" s="88"/>
      <c r="V19" s="88"/>
      <c r="W19" s="88"/>
    </row>
    <row r="20" spans="2:23">
      <c r="B20" s="125"/>
      <c r="C20" s="125"/>
      <c r="K20" s="125"/>
      <c r="L20" s="125"/>
      <c r="M20" s="88"/>
      <c r="N20" s="89" t="s">
        <v>67</v>
      </c>
      <c r="O20" s="111">
        <f>1/P19</f>
        <v>1</v>
      </c>
      <c r="P20" s="111">
        <v>1</v>
      </c>
      <c r="Q20" s="111">
        <f>P8</f>
        <v>1</v>
      </c>
      <c r="R20" s="112">
        <f>P9</f>
        <v>1</v>
      </c>
      <c r="S20" s="91"/>
      <c r="T20" s="91"/>
      <c r="U20" s="88"/>
      <c r="V20" s="88"/>
      <c r="W20" s="88"/>
    </row>
    <row r="21" spans="2:23">
      <c r="B21" s="125"/>
      <c r="C21" s="125"/>
      <c r="K21" s="125"/>
      <c r="L21" s="125"/>
      <c r="M21" s="88"/>
      <c r="N21" s="89" t="s">
        <v>66</v>
      </c>
      <c r="O21" s="111">
        <f>1/Q19</f>
        <v>1</v>
      </c>
      <c r="P21" s="111">
        <f>1/Q20</f>
        <v>1</v>
      </c>
      <c r="Q21" s="111">
        <v>1</v>
      </c>
      <c r="R21" s="112">
        <f>P10</f>
        <v>1</v>
      </c>
      <c r="S21" s="91"/>
      <c r="T21" s="91"/>
      <c r="U21" s="88"/>
      <c r="V21" s="88"/>
      <c r="W21" s="88"/>
    </row>
    <row r="22" spans="2:23">
      <c r="B22" s="160" t="str">
        <f>K10</f>
        <v>ELECTRICOS HR</v>
      </c>
      <c r="C22" s="160"/>
      <c r="D22" s="71">
        <v>0</v>
      </c>
      <c r="E22" s="71">
        <v>0</v>
      </c>
      <c r="F22" s="71">
        <v>0</v>
      </c>
      <c r="G22" s="58">
        <v>1</v>
      </c>
      <c r="H22" s="69">
        <v>0</v>
      </c>
      <c r="I22" s="69">
        <v>0</v>
      </c>
      <c r="J22" s="69"/>
      <c r="K22" s="160" t="str">
        <f>K19</f>
        <v>SAS</v>
      </c>
      <c r="L22" s="160"/>
      <c r="M22" s="88"/>
      <c r="N22" s="89" t="s">
        <v>92</v>
      </c>
      <c r="O22" s="114">
        <f>1/R19</f>
        <v>1</v>
      </c>
      <c r="P22" s="114">
        <f>1/R20</f>
        <v>1</v>
      </c>
      <c r="Q22" s="114">
        <f>1/R21</f>
        <v>1</v>
      </c>
      <c r="R22" s="113">
        <v>1</v>
      </c>
      <c r="S22" s="91"/>
      <c r="T22" s="91"/>
      <c r="U22" s="88"/>
      <c r="V22" s="88"/>
      <c r="W22" s="88"/>
    </row>
    <row r="23" spans="2:23">
      <c r="M23" s="88"/>
      <c r="N23" s="91"/>
      <c r="O23" s="89"/>
      <c r="P23" s="89"/>
      <c r="Q23" s="89"/>
      <c r="R23" s="91"/>
      <c r="S23" s="91"/>
      <c r="T23" s="91"/>
      <c r="U23" s="88"/>
      <c r="V23" s="88"/>
      <c r="W23" s="88"/>
    </row>
    <row r="24" spans="2:23">
      <c r="M24" s="88"/>
      <c r="N24" s="91"/>
      <c r="O24" s="91"/>
      <c r="P24" s="91"/>
      <c r="Q24" s="91"/>
      <c r="R24" s="91"/>
      <c r="S24" s="91"/>
      <c r="T24" s="91"/>
      <c r="U24" s="88"/>
      <c r="V24" s="88"/>
      <c r="W24" s="88"/>
    </row>
    <row r="25" spans="2:23">
      <c r="M25" s="88"/>
      <c r="S25" s="91"/>
      <c r="T25" s="91"/>
      <c r="U25" s="88"/>
      <c r="V25" s="88"/>
      <c r="W25" s="88"/>
    </row>
    <row r="26" spans="2:23">
      <c r="M26" s="88"/>
      <c r="S26" s="91"/>
      <c r="T26" s="91"/>
      <c r="U26" s="88"/>
      <c r="V26" s="88"/>
      <c r="W26" s="88"/>
    </row>
    <row r="27" spans="2:23">
      <c r="M27" s="88"/>
      <c r="S27" s="91"/>
      <c r="T27" s="91"/>
      <c r="U27" s="88"/>
      <c r="V27" s="88"/>
      <c r="W27" s="88"/>
    </row>
    <row r="28" spans="2:23">
      <c r="M28" s="88"/>
      <c r="S28" s="91"/>
      <c r="T28" s="91"/>
      <c r="U28" s="88"/>
      <c r="V28" s="88"/>
      <c r="W28" s="88"/>
    </row>
    <row r="29" spans="2:23">
      <c r="M29" s="88"/>
      <c r="N29" s="91"/>
      <c r="O29" s="106" t="s">
        <v>68</v>
      </c>
      <c r="P29" s="106" t="s">
        <v>67</v>
      </c>
      <c r="Q29" s="106" t="s">
        <v>66</v>
      </c>
      <c r="R29" s="107" t="s">
        <v>92</v>
      </c>
      <c r="S29" s="91"/>
      <c r="T29" s="91"/>
      <c r="U29" s="88"/>
      <c r="V29" s="88"/>
      <c r="W29" s="88"/>
    </row>
    <row r="30" spans="2:23">
      <c r="M30" s="88"/>
      <c r="N30" s="89" t="s">
        <v>68</v>
      </c>
      <c r="O30" s="112">
        <f>O19/SUM($O$19:$O$22)</f>
        <v>0.25</v>
      </c>
      <c r="P30" s="112">
        <f>P19/SUM($P$19:$P$22)</f>
        <v>0.25</v>
      </c>
      <c r="Q30" s="112">
        <f>Q19/SUM($Q$19:$Q$22)</f>
        <v>0.25</v>
      </c>
      <c r="R30" s="112">
        <f>R19/SUM($R$19:$R$22)</f>
        <v>0.25</v>
      </c>
      <c r="S30" s="118">
        <f>AVERAGE(O30:R30)</f>
        <v>0.25</v>
      </c>
      <c r="T30" s="91"/>
      <c r="U30" s="88"/>
      <c r="V30" s="88"/>
      <c r="W30" s="88"/>
    </row>
    <row r="31" spans="2:23">
      <c r="M31" s="88"/>
      <c r="N31" s="89" t="s">
        <v>67</v>
      </c>
      <c r="O31" s="112">
        <f t="shared" ref="O31:O33" si="0">O20/SUM($O$19:$O$22)</f>
        <v>0.25</v>
      </c>
      <c r="P31" s="112">
        <f t="shared" ref="P31:P33" si="1">P20/SUM($P$19:$P$22)</f>
        <v>0.25</v>
      </c>
      <c r="Q31" s="112">
        <f t="shared" ref="Q31:Q33" si="2">Q20/SUM($Q$19:$Q$22)</f>
        <v>0.25</v>
      </c>
      <c r="R31" s="112">
        <f>R20/SUM($R$19:$R$22)</f>
        <v>0.25</v>
      </c>
      <c r="S31" s="118">
        <f t="shared" ref="S31:S33" si="3">AVERAGE(O31:R31)</f>
        <v>0.25</v>
      </c>
      <c r="T31" s="91"/>
      <c r="U31" s="88"/>
      <c r="V31" s="88"/>
      <c r="W31" s="88"/>
    </row>
    <row r="32" spans="2:23">
      <c r="M32" s="88"/>
      <c r="N32" s="89" t="s">
        <v>66</v>
      </c>
      <c r="O32" s="112">
        <f t="shared" si="0"/>
        <v>0.25</v>
      </c>
      <c r="P32" s="112">
        <f t="shared" si="1"/>
        <v>0.25</v>
      </c>
      <c r="Q32" s="112">
        <f t="shared" si="2"/>
        <v>0.25</v>
      </c>
      <c r="R32" s="112">
        <f t="shared" ref="R32:R33" si="4">R21/SUM($R$19:$R$22)</f>
        <v>0.25</v>
      </c>
      <c r="S32" s="118">
        <f t="shared" si="3"/>
        <v>0.25</v>
      </c>
      <c r="T32" s="91"/>
      <c r="U32" s="88"/>
      <c r="V32" s="88"/>
      <c r="W32" s="88"/>
    </row>
    <row r="33" spans="13:23">
      <c r="M33" s="88"/>
      <c r="N33" s="89" t="s">
        <v>92</v>
      </c>
      <c r="O33" s="112">
        <f t="shared" si="0"/>
        <v>0.25</v>
      </c>
      <c r="P33" s="112">
        <f t="shared" si="1"/>
        <v>0.25</v>
      </c>
      <c r="Q33" s="112">
        <f t="shared" si="2"/>
        <v>0.25</v>
      </c>
      <c r="R33" s="112">
        <f t="shared" si="4"/>
        <v>0.25</v>
      </c>
      <c r="S33" s="118">
        <f t="shared" si="3"/>
        <v>0.25</v>
      </c>
      <c r="T33" s="91"/>
      <c r="U33" s="88"/>
      <c r="V33" s="88"/>
      <c r="W33" s="88"/>
    </row>
    <row r="34" spans="13:23">
      <c r="M34" s="88"/>
      <c r="N34" s="91"/>
      <c r="O34" s="90"/>
      <c r="P34" s="90"/>
      <c r="Q34" s="90"/>
      <c r="R34" s="90"/>
      <c r="S34" s="115"/>
      <c r="T34" s="91"/>
      <c r="U34" s="88"/>
      <c r="V34" s="88"/>
      <c r="W34" s="88"/>
    </row>
    <row r="35" spans="13:23">
      <c r="M35" s="88"/>
      <c r="N35" s="91"/>
      <c r="O35" s="91"/>
      <c r="P35" s="91"/>
      <c r="Q35" s="91"/>
      <c r="R35" s="91"/>
      <c r="S35" s="93"/>
      <c r="T35" s="91"/>
      <c r="U35" s="88"/>
      <c r="V35" s="88"/>
      <c r="W35" s="88"/>
    </row>
    <row r="36" spans="13:23">
      <c r="M36" s="88"/>
      <c r="N36" s="91"/>
      <c r="O36" s="91"/>
      <c r="P36" s="91"/>
      <c r="Q36" s="91"/>
      <c r="R36" s="91"/>
      <c r="S36" s="93"/>
      <c r="T36" s="91"/>
      <c r="U36" s="88"/>
      <c r="V36" s="88"/>
      <c r="W36" s="88"/>
    </row>
    <row r="37" spans="13:23">
      <c r="M37" s="88"/>
      <c r="N37" s="92"/>
      <c r="O37" s="91"/>
      <c r="P37" s="91"/>
      <c r="Q37" s="91"/>
      <c r="R37" s="91"/>
      <c r="S37" s="93"/>
      <c r="T37" s="91"/>
      <c r="U37" s="88"/>
      <c r="V37" s="88"/>
      <c r="W37" s="88"/>
    </row>
    <row r="38" spans="13:23">
      <c r="M38" s="88"/>
      <c r="N38" s="94"/>
      <c r="O38" s="91"/>
      <c r="P38" s="91"/>
      <c r="Q38" s="91"/>
      <c r="R38" s="91"/>
      <c r="S38" s="93"/>
      <c r="T38" s="91"/>
      <c r="U38" s="88"/>
      <c r="V38" s="88"/>
      <c r="W38" s="88"/>
    </row>
    <row r="39" spans="13:23">
      <c r="M39" s="88"/>
      <c r="N39" s="91"/>
      <c r="O39" s="91"/>
      <c r="P39" s="91"/>
      <c r="Q39" s="91"/>
      <c r="R39" s="91"/>
      <c r="S39" s="93"/>
      <c r="T39" s="91"/>
      <c r="U39" s="88"/>
      <c r="V39" s="88"/>
      <c r="W39" s="88"/>
    </row>
    <row r="40" spans="13:23">
      <c r="M40" s="88"/>
      <c r="N40" s="91"/>
      <c r="O40" s="112">
        <f>O19</f>
        <v>1</v>
      </c>
      <c r="P40" s="112">
        <f t="shared" ref="O40:Q43" si="5">P19</f>
        <v>1</v>
      </c>
      <c r="Q40" s="112">
        <f t="shared" si="5"/>
        <v>1</v>
      </c>
      <c r="R40" s="112">
        <f>R19</f>
        <v>1</v>
      </c>
      <c r="S40" s="120">
        <f>SUMPRODUCT($O$44:$R$44,O40:R40)</f>
        <v>1</v>
      </c>
      <c r="T40" s="112">
        <f>S40/S30</f>
        <v>4</v>
      </c>
      <c r="U40" s="88"/>
      <c r="V40" s="88"/>
      <c r="W40" s="88"/>
    </row>
    <row r="41" spans="13:23">
      <c r="M41" s="88"/>
      <c r="N41" s="91"/>
      <c r="O41" s="112">
        <f t="shared" si="5"/>
        <v>1</v>
      </c>
      <c r="P41" s="112">
        <f t="shared" si="5"/>
        <v>1</v>
      </c>
      <c r="Q41" s="112">
        <f t="shared" si="5"/>
        <v>1</v>
      </c>
      <c r="R41" s="112">
        <f t="shared" ref="R41" si="6">R20</f>
        <v>1</v>
      </c>
      <c r="S41" s="120">
        <f t="shared" ref="S41:S42" si="7">SUMPRODUCT($O$44:$R$44,O41:R41)</f>
        <v>1</v>
      </c>
      <c r="T41" s="112">
        <f t="shared" ref="T41:T43" si="8">S41/S31</f>
        <v>4</v>
      </c>
      <c r="U41" s="88"/>
      <c r="V41" s="88"/>
      <c r="W41" s="88"/>
    </row>
    <row r="42" spans="13:23">
      <c r="M42" s="88"/>
      <c r="N42" s="91"/>
      <c r="O42" s="112">
        <f t="shared" si="5"/>
        <v>1</v>
      </c>
      <c r="P42" s="112">
        <f t="shared" si="5"/>
        <v>1</v>
      </c>
      <c r="Q42" s="112">
        <f t="shared" si="5"/>
        <v>1</v>
      </c>
      <c r="R42" s="112">
        <f t="shared" ref="R42" si="9">R21</f>
        <v>1</v>
      </c>
      <c r="S42" s="120">
        <f t="shared" si="7"/>
        <v>1</v>
      </c>
      <c r="T42" s="112">
        <f t="shared" si="8"/>
        <v>4</v>
      </c>
      <c r="U42" s="88"/>
      <c r="V42" s="88"/>
      <c r="W42" s="88"/>
    </row>
    <row r="43" spans="13:23">
      <c r="M43" s="88"/>
      <c r="O43" s="112">
        <f>O22</f>
        <v>1</v>
      </c>
      <c r="P43" s="112">
        <f t="shared" si="5"/>
        <v>1</v>
      </c>
      <c r="Q43" s="112">
        <f t="shared" si="5"/>
        <v>1</v>
      </c>
      <c r="R43" s="112">
        <f>R22</f>
        <v>1</v>
      </c>
      <c r="S43" s="120">
        <f>SUMPRODUCT($O$44:$R$44,O43:R43)</f>
        <v>1</v>
      </c>
      <c r="T43" s="112">
        <f t="shared" si="8"/>
        <v>4</v>
      </c>
      <c r="U43" s="88"/>
      <c r="V43" s="88"/>
      <c r="W43" s="88"/>
    </row>
    <row r="44" spans="13:23">
      <c r="M44" s="88"/>
      <c r="O44" s="119">
        <f>S30</f>
        <v>0.25</v>
      </c>
      <c r="P44" s="119">
        <f>S31</f>
        <v>0.25</v>
      </c>
      <c r="Q44" s="119">
        <f>S32</f>
        <v>0.25</v>
      </c>
      <c r="R44" s="119">
        <f>S33</f>
        <v>0.25</v>
      </c>
      <c r="S44" s="93" t="s">
        <v>65</v>
      </c>
      <c r="T44" s="116">
        <f>AVERAGE(T40:T43)</f>
        <v>4</v>
      </c>
      <c r="U44" s="88"/>
      <c r="V44" s="88"/>
      <c r="W44" s="88"/>
    </row>
    <row r="45" spans="13:23">
      <c r="M45" s="88"/>
      <c r="U45" s="88"/>
      <c r="V45" s="88"/>
      <c r="W45" s="88"/>
    </row>
    <row r="46" spans="13:23">
      <c r="M46" s="88"/>
      <c r="U46" s="88"/>
      <c r="V46" s="88"/>
      <c r="W46" s="88"/>
    </row>
    <row r="47" spans="13:23">
      <c r="M47" s="88"/>
      <c r="U47" s="88"/>
      <c r="V47" s="88"/>
      <c r="W47" s="88"/>
    </row>
    <row r="48" spans="13:23">
      <c r="N48" s="91"/>
      <c r="O48" s="91"/>
      <c r="P48" s="91"/>
      <c r="Q48" s="91"/>
      <c r="S48" s="93"/>
      <c r="T48" s="90">
        <f>AVERAGE(T40:T42)</f>
        <v>4</v>
      </c>
    </row>
    <row r="49" spans="14:20">
      <c r="N49" s="91"/>
      <c r="O49" s="90"/>
      <c r="P49" s="90"/>
      <c r="Q49" s="91"/>
      <c r="R49" s="91"/>
      <c r="S49" s="93"/>
      <c r="T49" s="91"/>
    </row>
    <row r="50" spans="14:20">
      <c r="N50" s="91"/>
      <c r="O50" s="91"/>
      <c r="P50" s="91"/>
      <c r="Q50" s="91"/>
      <c r="R50" s="91"/>
      <c r="S50" s="93"/>
      <c r="T50" s="91"/>
    </row>
    <row r="51" spans="14:20">
      <c r="N51" s="91"/>
      <c r="O51" s="91"/>
      <c r="P51" s="91"/>
      <c r="Q51" s="91"/>
      <c r="R51" s="113" t="s">
        <v>64</v>
      </c>
      <c r="S51" s="122">
        <v>0.89</v>
      </c>
      <c r="T51" s="91"/>
    </row>
    <row r="52" spans="14:20">
      <c r="N52" s="91" t="s">
        <v>63</v>
      </c>
      <c r="O52" s="121">
        <f>(T44-4)/(4-1)</f>
        <v>0</v>
      </c>
      <c r="P52" s="91"/>
      <c r="Q52" s="91"/>
      <c r="R52" s="91"/>
      <c r="S52" s="93"/>
      <c r="T52" s="91"/>
    </row>
    <row r="53" spans="14:20">
      <c r="N53" s="91"/>
      <c r="O53" s="91"/>
      <c r="P53" s="91"/>
      <c r="Q53" s="91"/>
      <c r="R53" s="113" t="s">
        <v>62</v>
      </c>
      <c r="S53" s="128">
        <f>O52/S51</f>
        <v>0</v>
      </c>
      <c r="T53" s="117">
        <v>0.1</v>
      </c>
    </row>
  </sheetData>
  <mergeCells count="26">
    <mergeCell ref="B22:C22"/>
    <mergeCell ref="K22:L22"/>
    <mergeCell ref="B1:L1"/>
    <mergeCell ref="B4:C5"/>
    <mergeCell ref="D4:D5"/>
    <mergeCell ref="F4:F5"/>
    <mergeCell ref="G4:G5"/>
    <mergeCell ref="H4:H5"/>
    <mergeCell ref="I4:I5"/>
    <mergeCell ref="J4:J5"/>
    <mergeCell ref="B19:C19"/>
    <mergeCell ref="K19:L19"/>
    <mergeCell ref="B16:C16"/>
    <mergeCell ref="K16:L16"/>
    <mergeCell ref="E4:E5"/>
    <mergeCell ref="B13:C13"/>
    <mergeCell ref="K13:L13"/>
    <mergeCell ref="R7:S7"/>
    <mergeCell ref="B2:L3"/>
    <mergeCell ref="B7:C7"/>
    <mergeCell ref="K7:L7"/>
    <mergeCell ref="B10:C10"/>
    <mergeCell ref="K10:L10"/>
    <mergeCell ref="N2:Q2"/>
    <mergeCell ref="N3:O3"/>
    <mergeCell ref="K4:L5"/>
  </mergeCells>
  <conditionalFormatting sqref="D10:J10 D13:J13 D7:J7">
    <cfRule type="cellIs" dxfId="1" priority="2" operator="equal">
      <formula>1</formula>
    </cfRule>
  </conditionalFormatting>
  <conditionalFormatting sqref="D16:J16 D19:J19 D22:J22">
    <cfRule type="cellIs" dxfId="0" priority="1" operator="equal">
      <formula>1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69"/>
  <sheetViews>
    <sheetView showGridLines="0" tabSelected="1" topLeftCell="A52" zoomScale="70" zoomScaleNormal="70" workbookViewId="0">
      <selection activeCell="R14" sqref="R14"/>
    </sheetView>
  </sheetViews>
  <sheetFormatPr baseColWidth="10" defaultColWidth="43.140625" defaultRowHeight="15"/>
  <cols>
    <col min="1" max="1" width="1" style="9" customWidth="1"/>
    <col min="2" max="2" width="5.85546875" style="9" bestFit="1" customWidth="1"/>
    <col min="3" max="3" width="38" style="9" customWidth="1"/>
    <col min="4" max="4" width="7.85546875" style="9" bestFit="1" customWidth="1"/>
    <col min="5" max="5" width="5.85546875" style="9" bestFit="1" customWidth="1"/>
    <col min="6" max="6" width="20.5703125" style="9" customWidth="1"/>
    <col min="7" max="7" width="19.28515625" style="9" bestFit="1" customWidth="1"/>
    <col min="8" max="8" width="21.42578125" style="9" customWidth="1"/>
    <col min="9" max="9" width="19.28515625" style="9" bestFit="1" customWidth="1"/>
    <col min="10" max="10" width="17.85546875" style="9" bestFit="1" customWidth="1"/>
    <col min="11" max="11" width="20.5703125" style="9" customWidth="1"/>
    <col min="12" max="12" width="8.5703125" style="9" hidden="1" customWidth="1"/>
    <col min="13" max="13" width="11.42578125" style="9" hidden="1" customWidth="1"/>
    <col min="14" max="14" width="8.5703125" style="9" hidden="1" customWidth="1"/>
    <col min="15" max="15" width="11.140625" style="9" hidden="1" customWidth="1"/>
    <col min="16" max="16" width="19.42578125" style="9" customWidth="1"/>
    <col min="17" max="17" width="21.28515625" style="9" customWidth="1"/>
    <col min="18" max="16384" width="43.140625" style="9"/>
  </cols>
  <sheetData>
    <row r="1" spans="1:17" ht="15.75" thickBot="1">
      <c r="A1" s="1"/>
      <c r="B1" s="7"/>
      <c r="C1" s="2"/>
      <c r="D1" s="2"/>
      <c r="E1" s="8"/>
      <c r="I1" s="10"/>
      <c r="J1" s="3"/>
      <c r="K1" s="5"/>
    </row>
    <row r="2" spans="1:17">
      <c r="A2" s="211"/>
      <c r="B2" s="212"/>
      <c r="C2" s="212"/>
      <c r="D2" s="213"/>
      <c r="E2" s="220" t="s">
        <v>0</v>
      </c>
      <c r="F2" s="221"/>
      <c r="G2" s="221"/>
      <c r="H2" s="221"/>
      <c r="I2" s="221"/>
      <c r="J2" s="251" t="s">
        <v>1</v>
      </c>
      <c r="K2" s="252"/>
      <c r="L2" s="252"/>
      <c r="M2" s="252"/>
      <c r="N2" s="252"/>
      <c r="O2" s="252"/>
      <c r="P2" s="252"/>
      <c r="Q2" s="252"/>
    </row>
    <row r="3" spans="1:17">
      <c r="A3" s="214"/>
      <c r="B3" s="215"/>
      <c r="C3" s="215"/>
      <c r="D3" s="216"/>
      <c r="E3" s="222"/>
      <c r="F3" s="222"/>
      <c r="G3" s="222"/>
      <c r="H3" s="222"/>
      <c r="I3" s="222"/>
      <c r="J3" s="251" t="s">
        <v>25</v>
      </c>
      <c r="K3" s="252"/>
      <c r="L3" s="252"/>
      <c r="M3" s="252"/>
      <c r="N3" s="252"/>
      <c r="O3" s="252"/>
      <c r="P3" s="252"/>
      <c r="Q3" s="252"/>
    </row>
    <row r="4" spans="1:17" ht="15.75" customHeight="1" thickBot="1">
      <c r="A4" s="217"/>
      <c r="B4" s="218"/>
      <c r="C4" s="218"/>
      <c r="D4" s="219"/>
      <c r="E4" s="204" t="s">
        <v>29</v>
      </c>
      <c r="F4" s="205"/>
      <c r="G4" s="205"/>
      <c r="H4" s="205"/>
      <c r="I4" s="253" t="s">
        <v>30</v>
      </c>
      <c r="J4" s="254"/>
      <c r="K4" s="254"/>
      <c r="L4" s="254"/>
      <c r="M4" s="254"/>
      <c r="N4" s="254"/>
      <c r="O4" s="254"/>
      <c r="P4" s="254"/>
      <c r="Q4" s="254"/>
    </row>
    <row r="5" spans="1:17" ht="15.75" thickBot="1">
      <c r="A5" s="255"/>
      <c r="B5" s="256"/>
      <c r="C5" s="256"/>
      <c r="D5" s="256"/>
      <c r="E5" s="256"/>
      <c r="F5" s="256"/>
      <c r="G5" s="256"/>
      <c r="H5" s="256"/>
      <c r="I5" s="256"/>
      <c r="J5" s="256"/>
      <c r="K5" s="256"/>
      <c r="L5" s="256"/>
      <c r="M5" s="256"/>
      <c r="N5" s="256"/>
      <c r="O5" s="256"/>
      <c r="P5" s="256"/>
      <c r="Q5" s="256"/>
    </row>
    <row r="6" spans="1:17">
      <c r="A6" s="223" t="s">
        <v>2</v>
      </c>
      <c r="B6" s="224"/>
      <c r="C6" s="224"/>
      <c r="D6" s="225"/>
      <c r="E6" s="257"/>
      <c r="F6" s="258"/>
      <c r="G6" s="258"/>
      <c r="H6" s="258"/>
      <c r="I6" s="258"/>
      <c r="J6" s="258"/>
      <c r="K6" s="258"/>
      <c r="L6" s="258"/>
      <c r="M6" s="258"/>
      <c r="N6" s="258"/>
      <c r="O6" s="258"/>
      <c r="P6" s="258"/>
      <c r="Q6" s="258"/>
    </row>
    <row r="7" spans="1:17">
      <c r="A7" s="226" t="s">
        <v>3</v>
      </c>
      <c r="B7" s="227"/>
      <c r="C7" s="227"/>
      <c r="D7" s="228"/>
      <c r="E7" s="229">
        <f ca="1">TODAY()</f>
        <v>43597</v>
      </c>
      <c r="F7" s="166"/>
      <c r="G7" s="166"/>
      <c r="H7" s="239" t="s">
        <v>32</v>
      </c>
      <c r="I7" s="240"/>
      <c r="J7" s="229"/>
      <c r="K7" s="229"/>
      <c r="L7" s="229"/>
      <c r="M7" s="229"/>
      <c r="N7" s="229"/>
      <c r="O7" s="229"/>
      <c r="P7" s="229"/>
      <c r="Q7" s="229"/>
    </row>
    <row r="8" spans="1:17" ht="15.75" thickBot="1">
      <c r="A8" s="236" t="s">
        <v>4</v>
      </c>
      <c r="B8" s="237"/>
      <c r="C8" s="237"/>
      <c r="D8" s="238"/>
      <c r="E8" s="206" t="s">
        <v>93</v>
      </c>
      <c r="F8" s="206"/>
      <c r="G8" s="206"/>
      <c r="H8" s="207" t="s">
        <v>5</v>
      </c>
      <c r="I8" s="208"/>
      <c r="J8" s="259" t="s">
        <v>94</v>
      </c>
      <c r="K8" s="259"/>
      <c r="L8" s="259"/>
      <c r="M8" s="259"/>
      <c r="N8" s="259"/>
      <c r="O8" s="259"/>
      <c r="P8" s="259"/>
      <c r="Q8" s="259"/>
    </row>
    <row r="9" spans="1:17" ht="15.75" thickBot="1">
      <c r="A9" s="13"/>
      <c r="B9" s="13"/>
      <c r="C9" s="13"/>
      <c r="D9" s="13"/>
      <c r="E9" s="14"/>
      <c r="F9" s="14"/>
      <c r="G9" s="14"/>
      <c r="H9" s="15"/>
      <c r="I9" s="15"/>
      <c r="J9" s="127"/>
      <c r="K9" s="127"/>
      <c r="L9" s="127"/>
      <c r="M9" s="127"/>
      <c r="N9" s="127"/>
      <c r="O9" s="127"/>
      <c r="P9" s="127"/>
      <c r="Q9" s="127"/>
    </row>
    <row r="10" spans="1:17" ht="15.75" thickBot="1">
      <c r="A10" s="16"/>
      <c r="B10" s="17"/>
      <c r="C10" s="6"/>
      <c r="D10" s="6"/>
      <c r="E10" s="18"/>
      <c r="F10" s="260" t="s">
        <v>6</v>
      </c>
      <c r="G10" s="261"/>
      <c r="H10" s="261"/>
      <c r="I10" s="261"/>
      <c r="J10" s="261"/>
      <c r="K10" s="261"/>
      <c r="L10" s="261"/>
      <c r="M10" s="261"/>
      <c r="N10" s="261"/>
      <c r="O10" s="261"/>
      <c r="P10" s="261"/>
      <c r="Q10" s="262"/>
    </row>
    <row r="11" spans="1:17" ht="27.95" customHeight="1">
      <c r="A11" s="230"/>
      <c r="B11" s="230" t="s">
        <v>7</v>
      </c>
      <c r="C11" s="231" t="s">
        <v>8</v>
      </c>
      <c r="D11" s="233" t="s">
        <v>31</v>
      </c>
      <c r="E11" s="233" t="s">
        <v>9</v>
      </c>
      <c r="F11" s="192" t="s">
        <v>40</v>
      </c>
      <c r="G11" s="192" t="s">
        <v>24</v>
      </c>
      <c r="H11" s="191" t="s">
        <v>41</v>
      </c>
      <c r="I11" s="191" t="s">
        <v>24</v>
      </c>
      <c r="J11" s="191" t="s">
        <v>42</v>
      </c>
      <c r="K11" s="192" t="s">
        <v>24</v>
      </c>
      <c r="L11" s="191"/>
      <c r="M11" s="191" t="s">
        <v>24</v>
      </c>
      <c r="N11" s="191"/>
      <c r="O11" s="193" t="s">
        <v>24</v>
      </c>
      <c r="P11" s="263" t="s">
        <v>91</v>
      </c>
      <c r="Q11" s="192" t="s">
        <v>24</v>
      </c>
    </row>
    <row r="12" spans="1:17" ht="27.95" customHeight="1">
      <c r="A12" s="166"/>
      <c r="B12" s="166"/>
      <c r="C12" s="232"/>
      <c r="D12" s="234"/>
      <c r="E12" s="235"/>
      <c r="F12" s="210"/>
      <c r="G12" s="210"/>
      <c r="H12" s="192"/>
      <c r="I12" s="192"/>
      <c r="J12" s="192"/>
      <c r="K12" s="209"/>
      <c r="L12" s="192"/>
      <c r="M12" s="192"/>
      <c r="N12" s="192"/>
      <c r="O12" s="194"/>
      <c r="P12" s="263"/>
      <c r="Q12" s="209"/>
    </row>
    <row r="13" spans="1:17">
      <c r="A13" s="44"/>
      <c r="B13" s="44">
        <v>1</v>
      </c>
      <c r="C13" s="35"/>
      <c r="D13" s="33"/>
      <c r="E13" s="34"/>
      <c r="F13" s="45"/>
      <c r="G13" s="43">
        <v>50000</v>
      </c>
      <c r="H13" s="31"/>
      <c r="I13" s="30">
        <v>25000</v>
      </c>
      <c r="J13" s="47"/>
      <c r="K13" s="48">
        <v>30000</v>
      </c>
      <c r="L13" s="31"/>
      <c r="M13" s="30"/>
      <c r="N13" s="36"/>
      <c r="O13" s="30"/>
      <c r="P13" s="96"/>
      <c r="Q13" s="97">
        <v>25000</v>
      </c>
    </row>
    <row r="14" spans="1:17">
      <c r="A14" s="44"/>
      <c r="B14" s="44">
        <f t="shared" ref="B14:B41" si="0">+B13+1</f>
        <v>2</v>
      </c>
      <c r="C14" s="35"/>
      <c r="D14" s="33"/>
      <c r="E14" s="34"/>
      <c r="F14" s="45"/>
      <c r="G14" s="43"/>
      <c r="H14" s="31"/>
      <c r="I14" s="30"/>
      <c r="J14" s="47"/>
      <c r="K14" s="48"/>
      <c r="L14" s="31"/>
      <c r="M14" s="30"/>
      <c r="N14" s="36"/>
      <c r="O14" s="30"/>
      <c r="P14" s="96"/>
      <c r="Q14" s="96"/>
    </row>
    <row r="15" spans="1:17">
      <c r="A15" s="44"/>
      <c r="B15" s="44">
        <f t="shared" si="0"/>
        <v>3</v>
      </c>
      <c r="C15" s="35"/>
      <c r="D15" s="33"/>
      <c r="E15" s="34"/>
      <c r="F15" s="45"/>
      <c r="G15" s="43"/>
      <c r="H15" s="31"/>
      <c r="I15" s="30"/>
      <c r="J15" s="47"/>
      <c r="K15" s="48"/>
      <c r="L15" s="31"/>
      <c r="M15" s="30"/>
      <c r="N15" s="36"/>
      <c r="O15" s="30"/>
      <c r="P15" s="96"/>
      <c r="Q15" s="96"/>
    </row>
    <row r="16" spans="1:17">
      <c r="A16" s="44"/>
      <c r="B16" s="44">
        <f t="shared" si="0"/>
        <v>4</v>
      </c>
      <c r="C16" s="35"/>
      <c r="D16" s="33"/>
      <c r="E16" s="34"/>
      <c r="F16" s="45"/>
      <c r="G16" s="43"/>
      <c r="H16" s="31"/>
      <c r="I16" s="30"/>
      <c r="J16" s="47"/>
      <c r="K16" s="48"/>
      <c r="L16" s="31"/>
      <c r="M16" s="30"/>
      <c r="N16" s="36"/>
      <c r="O16" s="30"/>
      <c r="P16" s="96"/>
      <c r="Q16" s="96"/>
    </row>
    <row r="17" spans="1:17">
      <c r="A17" s="44"/>
      <c r="B17" s="44">
        <f t="shared" si="0"/>
        <v>5</v>
      </c>
      <c r="C17" s="35"/>
      <c r="D17" s="33"/>
      <c r="E17" s="34"/>
      <c r="F17" s="45"/>
      <c r="G17" s="43"/>
      <c r="H17" s="31"/>
      <c r="I17" s="30"/>
      <c r="J17" s="47"/>
      <c r="K17" s="48"/>
      <c r="L17" s="31"/>
      <c r="M17" s="30"/>
      <c r="N17" s="36"/>
      <c r="O17" s="30"/>
      <c r="P17" s="96"/>
      <c r="Q17" s="96"/>
    </row>
    <row r="18" spans="1:17">
      <c r="A18" s="44"/>
      <c r="B18" s="44">
        <f t="shared" si="0"/>
        <v>6</v>
      </c>
      <c r="C18" s="35"/>
      <c r="D18" s="33"/>
      <c r="E18" s="34"/>
      <c r="F18" s="45"/>
      <c r="G18" s="43"/>
      <c r="H18" s="31"/>
      <c r="I18" s="30"/>
      <c r="J18" s="47"/>
      <c r="K18" s="48"/>
      <c r="L18" s="31"/>
      <c r="M18" s="30"/>
      <c r="N18" s="36"/>
      <c r="O18" s="30"/>
      <c r="P18" s="96"/>
      <c r="Q18" s="96"/>
    </row>
    <row r="19" spans="1:17">
      <c r="A19" s="44"/>
      <c r="B19" s="44">
        <f t="shared" si="0"/>
        <v>7</v>
      </c>
      <c r="C19" s="35"/>
      <c r="D19" s="33"/>
      <c r="E19" s="34"/>
      <c r="F19" s="45"/>
      <c r="G19" s="43"/>
      <c r="H19" s="31"/>
      <c r="I19" s="30"/>
      <c r="J19" s="47"/>
      <c r="K19" s="48"/>
      <c r="L19" s="31"/>
      <c r="M19" s="30"/>
      <c r="N19" s="36"/>
      <c r="O19" s="30"/>
      <c r="P19" s="96"/>
      <c r="Q19" s="96"/>
    </row>
    <row r="20" spans="1:17">
      <c r="A20" s="44"/>
      <c r="B20" s="44">
        <f t="shared" si="0"/>
        <v>8</v>
      </c>
      <c r="C20" s="35"/>
      <c r="D20" s="33"/>
      <c r="E20" s="34"/>
      <c r="F20" s="45"/>
      <c r="G20" s="43"/>
      <c r="H20" s="31"/>
      <c r="I20" s="30"/>
      <c r="J20" s="47"/>
      <c r="K20" s="48"/>
      <c r="L20" s="31"/>
      <c r="M20" s="30"/>
      <c r="N20" s="36"/>
      <c r="O20" s="30"/>
      <c r="P20" s="96"/>
      <c r="Q20" s="96"/>
    </row>
    <row r="21" spans="1:17">
      <c r="A21" s="44"/>
      <c r="B21" s="44">
        <f t="shared" si="0"/>
        <v>9</v>
      </c>
      <c r="C21" s="35"/>
      <c r="D21" s="33"/>
      <c r="E21" s="34"/>
      <c r="F21" s="45"/>
      <c r="G21" s="43"/>
      <c r="H21" s="31"/>
      <c r="I21" s="30"/>
      <c r="J21" s="47"/>
      <c r="K21" s="48"/>
      <c r="L21" s="31"/>
      <c r="M21" s="30"/>
      <c r="N21" s="36"/>
      <c r="O21" s="30"/>
      <c r="P21" s="96"/>
      <c r="Q21" s="96"/>
    </row>
    <row r="22" spans="1:17">
      <c r="A22" s="44"/>
      <c r="B22" s="44">
        <f t="shared" si="0"/>
        <v>10</v>
      </c>
      <c r="C22" s="35"/>
      <c r="D22" s="33"/>
      <c r="E22" s="34"/>
      <c r="F22" s="45"/>
      <c r="G22" s="43"/>
      <c r="H22" s="31"/>
      <c r="I22" s="30"/>
      <c r="J22" s="47"/>
      <c r="K22" s="48"/>
      <c r="L22" s="31"/>
      <c r="M22" s="30"/>
      <c r="N22" s="36"/>
      <c r="O22" s="30"/>
      <c r="P22" s="96"/>
      <c r="Q22" s="96"/>
    </row>
    <row r="23" spans="1:17">
      <c r="A23" s="44"/>
      <c r="B23" s="44">
        <f t="shared" si="0"/>
        <v>11</v>
      </c>
      <c r="C23" s="35"/>
      <c r="D23" s="33"/>
      <c r="E23" s="34"/>
      <c r="F23" s="45"/>
      <c r="G23" s="43"/>
      <c r="H23" s="31"/>
      <c r="I23" s="30"/>
      <c r="J23" s="47"/>
      <c r="K23" s="48"/>
      <c r="L23" s="31"/>
      <c r="M23" s="30"/>
      <c r="N23" s="36"/>
      <c r="O23" s="30"/>
      <c r="P23" s="96"/>
      <c r="Q23" s="96"/>
    </row>
    <row r="24" spans="1:17">
      <c r="A24" s="44"/>
      <c r="B24" s="44">
        <f t="shared" si="0"/>
        <v>12</v>
      </c>
      <c r="C24" s="35"/>
      <c r="D24" s="33"/>
      <c r="E24" s="34"/>
      <c r="F24" s="45"/>
      <c r="G24" s="43"/>
      <c r="H24" s="31"/>
      <c r="I24" s="30"/>
      <c r="J24" s="47"/>
      <c r="K24" s="48"/>
      <c r="L24" s="31"/>
      <c r="M24" s="30"/>
      <c r="N24" s="36"/>
      <c r="O24" s="30"/>
      <c r="P24" s="96"/>
      <c r="Q24" s="96"/>
    </row>
    <row r="25" spans="1:17">
      <c r="A25" s="44"/>
      <c r="B25" s="44">
        <f t="shared" si="0"/>
        <v>13</v>
      </c>
      <c r="C25" s="35"/>
      <c r="D25" s="33"/>
      <c r="E25" s="34"/>
      <c r="F25" s="45"/>
      <c r="G25" s="43"/>
      <c r="H25" s="31"/>
      <c r="I25" s="30"/>
      <c r="J25" s="47"/>
      <c r="K25" s="48"/>
      <c r="L25" s="31"/>
      <c r="M25" s="30"/>
      <c r="N25" s="36"/>
      <c r="O25" s="30"/>
      <c r="P25" s="96"/>
      <c r="Q25" s="96"/>
    </row>
    <row r="26" spans="1:17">
      <c r="A26" s="44"/>
      <c r="B26" s="44">
        <f t="shared" si="0"/>
        <v>14</v>
      </c>
      <c r="C26" s="35"/>
      <c r="D26" s="33"/>
      <c r="E26" s="34"/>
      <c r="F26" s="45"/>
      <c r="G26" s="43"/>
      <c r="H26" s="31"/>
      <c r="I26" s="30"/>
      <c r="J26" s="47"/>
      <c r="K26" s="48"/>
      <c r="L26" s="31"/>
      <c r="M26" s="30"/>
      <c r="N26" s="36"/>
      <c r="O26" s="30"/>
      <c r="P26" s="96"/>
      <c r="Q26" s="96"/>
    </row>
    <row r="27" spans="1:17">
      <c r="A27" s="44"/>
      <c r="B27" s="44">
        <f t="shared" si="0"/>
        <v>15</v>
      </c>
      <c r="C27" s="35"/>
      <c r="D27" s="33"/>
      <c r="E27" s="34"/>
      <c r="F27" s="45"/>
      <c r="G27" s="43"/>
      <c r="H27" s="31"/>
      <c r="I27" s="30"/>
      <c r="J27" s="47"/>
      <c r="K27" s="48"/>
      <c r="L27" s="31"/>
      <c r="M27" s="30"/>
      <c r="N27" s="36"/>
      <c r="O27" s="30"/>
      <c r="P27" s="96"/>
      <c r="Q27" s="96"/>
    </row>
    <row r="28" spans="1:17">
      <c r="A28" s="44"/>
      <c r="B28" s="44">
        <f t="shared" si="0"/>
        <v>16</v>
      </c>
      <c r="C28" s="35"/>
      <c r="D28" s="33"/>
      <c r="E28" s="34"/>
      <c r="F28" s="45"/>
      <c r="G28" s="43"/>
      <c r="H28" s="31"/>
      <c r="I28" s="30"/>
      <c r="J28" s="47"/>
      <c r="K28" s="48"/>
      <c r="L28" s="31"/>
      <c r="M28" s="30"/>
      <c r="N28" s="36"/>
      <c r="O28" s="30"/>
      <c r="P28" s="96"/>
      <c r="Q28" s="96"/>
    </row>
    <row r="29" spans="1:17">
      <c r="A29" s="44"/>
      <c r="B29" s="44">
        <f t="shared" si="0"/>
        <v>17</v>
      </c>
      <c r="C29" s="35"/>
      <c r="D29" s="33"/>
      <c r="E29" s="34"/>
      <c r="F29" s="45"/>
      <c r="G29" s="43"/>
      <c r="H29" s="31"/>
      <c r="I29" s="30"/>
      <c r="J29" s="47"/>
      <c r="K29" s="48"/>
      <c r="L29" s="31"/>
      <c r="M29" s="30"/>
      <c r="N29" s="36"/>
      <c r="O29" s="30"/>
      <c r="P29" s="96"/>
      <c r="Q29" s="96"/>
    </row>
    <row r="30" spans="1:17">
      <c r="A30" s="44"/>
      <c r="B30" s="44">
        <f t="shared" si="0"/>
        <v>18</v>
      </c>
      <c r="C30" s="35"/>
      <c r="D30" s="33"/>
      <c r="E30" s="34"/>
      <c r="F30" s="45"/>
      <c r="G30" s="43"/>
      <c r="H30" s="31"/>
      <c r="I30" s="30"/>
      <c r="J30" s="47"/>
      <c r="K30" s="48"/>
      <c r="L30" s="31"/>
      <c r="M30" s="30"/>
      <c r="N30" s="36"/>
      <c r="O30" s="30"/>
      <c r="P30" s="96"/>
      <c r="Q30" s="96"/>
    </row>
    <row r="31" spans="1:17">
      <c r="A31" s="44"/>
      <c r="B31" s="44">
        <f t="shared" si="0"/>
        <v>19</v>
      </c>
      <c r="C31" s="35"/>
      <c r="D31" s="33"/>
      <c r="E31" s="34"/>
      <c r="F31" s="45"/>
      <c r="G31" s="43"/>
      <c r="H31" s="31"/>
      <c r="I31" s="30"/>
      <c r="J31" s="47"/>
      <c r="K31" s="48"/>
      <c r="L31" s="31"/>
      <c r="M31" s="30"/>
      <c r="N31" s="36"/>
      <c r="O31" s="30"/>
      <c r="P31" s="96"/>
      <c r="Q31" s="96"/>
    </row>
    <row r="32" spans="1:17">
      <c r="A32" s="44"/>
      <c r="B32" s="44">
        <f t="shared" si="0"/>
        <v>20</v>
      </c>
      <c r="C32" s="35"/>
      <c r="D32" s="33"/>
      <c r="E32" s="34"/>
      <c r="F32" s="45"/>
      <c r="G32" s="43"/>
      <c r="H32" s="31"/>
      <c r="I32" s="30"/>
      <c r="J32" s="47"/>
      <c r="K32" s="48"/>
      <c r="L32" s="31"/>
      <c r="M32" s="30"/>
      <c r="N32" s="36"/>
      <c r="O32" s="30"/>
      <c r="P32" s="96"/>
      <c r="Q32" s="96"/>
    </row>
    <row r="33" spans="1:17">
      <c r="A33" s="44"/>
      <c r="B33" s="44">
        <f t="shared" si="0"/>
        <v>21</v>
      </c>
      <c r="C33" s="35"/>
      <c r="D33" s="33"/>
      <c r="E33" s="34"/>
      <c r="F33" s="45"/>
      <c r="G33" s="43"/>
      <c r="H33" s="31"/>
      <c r="I33" s="30"/>
      <c r="J33" s="47"/>
      <c r="K33" s="48"/>
      <c r="L33" s="31"/>
      <c r="M33" s="30"/>
      <c r="N33" s="36"/>
      <c r="O33" s="30"/>
      <c r="P33" s="96"/>
      <c r="Q33" s="96"/>
    </row>
    <row r="34" spans="1:17">
      <c r="A34" s="40"/>
      <c r="B34" s="44">
        <f>+B33+1</f>
        <v>22</v>
      </c>
      <c r="C34" s="35"/>
      <c r="D34" s="33"/>
      <c r="E34" s="34"/>
      <c r="F34" s="45"/>
      <c r="G34" s="43"/>
      <c r="H34" s="31"/>
      <c r="I34" s="30"/>
      <c r="J34" s="47"/>
      <c r="K34" s="48"/>
      <c r="L34" s="31"/>
      <c r="M34" s="30"/>
      <c r="N34" s="36"/>
      <c r="O34" s="30"/>
      <c r="P34" s="96"/>
      <c r="Q34" s="96"/>
    </row>
    <row r="35" spans="1:17">
      <c r="A35" s="40"/>
      <c r="B35" s="44">
        <f t="shared" si="0"/>
        <v>23</v>
      </c>
      <c r="C35" s="35"/>
      <c r="D35" s="33"/>
      <c r="E35" s="34"/>
      <c r="F35" s="45"/>
      <c r="G35" s="43"/>
      <c r="H35" s="31"/>
      <c r="I35" s="30"/>
      <c r="J35" s="47"/>
      <c r="K35" s="48"/>
      <c r="L35" s="31"/>
      <c r="M35" s="30"/>
      <c r="N35" s="36"/>
      <c r="O35" s="30"/>
      <c r="P35" s="96"/>
      <c r="Q35" s="96"/>
    </row>
    <row r="36" spans="1:17">
      <c r="A36" s="40"/>
      <c r="B36" s="44">
        <f t="shared" si="0"/>
        <v>24</v>
      </c>
      <c r="C36" s="35"/>
      <c r="D36" s="33"/>
      <c r="E36" s="34"/>
      <c r="F36" s="45"/>
      <c r="G36" s="43"/>
      <c r="H36" s="31"/>
      <c r="I36" s="30"/>
      <c r="J36" s="49"/>
      <c r="K36" s="48"/>
      <c r="L36" s="31"/>
      <c r="M36" s="30"/>
      <c r="N36" s="36"/>
      <c r="O36" s="30"/>
      <c r="P36" s="96"/>
      <c r="Q36" s="96"/>
    </row>
    <row r="37" spans="1:17">
      <c r="A37" s="40"/>
      <c r="B37" s="44">
        <f t="shared" si="0"/>
        <v>25</v>
      </c>
      <c r="C37" s="35"/>
      <c r="D37" s="33"/>
      <c r="E37" s="34"/>
      <c r="F37" s="31"/>
      <c r="G37" s="43"/>
      <c r="H37" s="31"/>
      <c r="I37" s="30"/>
      <c r="J37" s="47"/>
      <c r="K37" s="48"/>
      <c r="L37" s="31"/>
      <c r="M37" s="30"/>
      <c r="N37" s="36"/>
      <c r="O37" s="30"/>
      <c r="P37" s="96"/>
      <c r="Q37" s="96"/>
    </row>
    <row r="38" spans="1:17">
      <c r="A38" s="39"/>
      <c r="B38" s="44">
        <f t="shared" si="0"/>
        <v>26</v>
      </c>
      <c r="C38" s="29"/>
      <c r="D38" s="33"/>
      <c r="E38" s="34"/>
      <c r="F38" s="31"/>
      <c r="G38" s="43"/>
      <c r="H38" s="31"/>
      <c r="I38" s="30"/>
      <c r="J38" s="47"/>
      <c r="K38" s="48"/>
      <c r="L38" s="31"/>
      <c r="M38" s="30">
        <f>+L38*E38</f>
        <v>0</v>
      </c>
      <c r="N38" s="36"/>
      <c r="O38" s="30"/>
      <c r="P38" s="96"/>
      <c r="Q38" s="96"/>
    </row>
    <row r="39" spans="1:17">
      <c r="A39" s="41"/>
      <c r="B39" s="44">
        <f t="shared" si="0"/>
        <v>27</v>
      </c>
      <c r="C39" s="42"/>
      <c r="D39" s="33"/>
      <c r="E39" s="34"/>
      <c r="F39" s="31"/>
      <c r="G39" s="30"/>
      <c r="H39" s="31"/>
      <c r="I39" s="30"/>
      <c r="J39" s="47"/>
      <c r="K39" s="48"/>
      <c r="L39" s="31"/>
      <c r="M39" s="30"/>
      <c r="N39" s="36"/>
      <c r="O39" s="30"/>
      <c r="P39" s="96"/>
      <c r="Q39" s="96"/>
    </row>
    <row r="40" spans="1:17">
      <c r="A40" s="41"/>
      <c r="B40" s="44">
        <f t="shared" si="0"/>
        <v>28</v>
      </c>
      <c r="C40" s="42"/>
      <c r="D40" s="33"/>
      <c r="E40" s="34"/>
      <c r="F40" s="31"/>
      <c r="G40" s="30"/>
      <c r="H40" s="31"/>
      <c r="I40" s="30"/>
      <c r="J40" s="47"/>
      <c r="K40" s="48"/>
      <c r="L40" s="31"/>
      <c r="M40" s="30"/>
      <c r="N40" s="36"/>
      <c r="O40" s="30"/>
      <c r="P40" s="96"/>
      <c r="Q40" s="96"/>
    </row>
    <row r="41" spans="1:17">
      <c r="A41" s="41"/>
      <c r="B41" s="44">
        <f t="shared" si="0"/>
        <v>29</v>
      </c>
      <c r="C41" s="42"/>
      <c r="D41" s="33"/>
      <c r="E41" s="34"/>
      <c r="F41" s="31"/>
      <c r="G41" s="30"/>
      <c r="H41" s="31"/>
      <c r="I41" s="30"/>
      <c r="J41" s="47"/>
      <c r="K41" s="48"/>
      <c r="L41" s="31"/>
      <c r="M41" s="30"/>
      <c r="N41" s="36"/>
      <c r="O41" s="30"/>
      <c r="P41" s="96"/>
      <c r="Q41" s="96"/>
    </row>
    <row r="42" spans="1:17" ht="18.75">
      <c r="A42" s="28"/>
      <c r="B42" s="50"/>
      <c r="C42" s="187" t="s">
        <v>10</v>
      </c>
      <c r="D42" s="188"/>
      <c r="E42" s="189"/>
      <c r="F42" s="51"/>
      <c r="G42" s="52">
        <f>SUM(G13:G41)</f>
        <v>50000</v>
      </c>
      <c r="H42" s="53"/>
      <c r="I42" s="52">
        <f>SUM(I13:I41)</f>
        <v>25000</v>
      </c>
      <c r="J42" s="53"/>
      <c r="K42" s="52">
        <f>SUM(K13:K41)</f>
        <v>30000</v>
      </c>
      <c r="L42" s="26"/>
      <c r="M42" s="25">
        <f>SUM(M13:M38)</f>
        <v>0</v>
      </c>
      <c r="N42" s="26"/>
      <c r="O42" s="25" t="e">
        <f>+(#REF!+O38)*#REF!</f>
        <v>#REF!</v>
      </c>
      <c r="P42" s="53"/>
      <c r="Q42" s="52">
        <f>SUM(Q13:Q41)</f>
        <v>25000</v>
      </c>
    </row>
    <row r="43" spans="1:17">
      <c r="A43" s="28"/>
      <c r="B43" s="50"/>
      <c r="C43" s="187" t="s">
        <v>26</v>
      </c>
      <c r="D43" s="188"/>
      <c r="E43" s="189"/>
      <c r="F43" s="54">
        <v>0</v>
      </c>
      <c r="G43" s="55">
        <f>+G47*F43</f>
        <v>0</v>
      </c>
      <c r="H43" s="54">
        <v>0</v>
      </c>
      <c r="I43" s="56">
        <f>+I42*H43</f>
        <v>0</v>
      </c>
      <c r="J43" s="54">
        <v>0</v>
      </c>
      <c r="K43" s="56">
        <f>+K42*J43</f>
        <v>0</v>
      </c>
      <c r="L43" s="19">
        <v>0</v>
      </c>
      <c r="M43" s="23" t="e">
        <f>+O42*L43</f>
        <v>#REF!</v>
      </c>
      <c r="N43" s="19">
        <v>0</v>
      </c>
      <c r="O43" s="23" t="e">
        <f>+#REF!*N43</f>
        <v>#REF!</v>
      </c>
      <c r="P43" s="54">
        <v>0</v>
      </c>
      <c r="Q43" s="56">
        <f>+Q42*P43</f>
        <v>0</v>
      </c>
    </row>
    <row r="44" spans="1:17">
      <c r="A44" s="28"/>
      <c r="B44" s="50"/>
      <c r="C44" s="187" t="s">
        <v>28</v>
      </c>
      <c r="D44" s="188"/>
      <c r="E44" s="189"/>
      <c r="F44" s="54">
        <v>0</v>
      </c>
      <c r="G44" s="55">
        <f>+G47*F44</f>
        <v>0</v>
      </c>
      <c r="H44" s="54">
        <v>0</v>
      </c>
      <c r="I44" s="56">
        <f>+I42*H44</f>
        <v>0</v>
      </c>
      <c r="J44" s="54">
        <v>0</v>
      </c>
      <c r="K44" s="56">
        <f>+K42*J44</f>
        <v>0</v>
      </c>
      <c r="L44" s="19">
        <v>0</v>
      </c>
      <c r="M44" s="23" t="e">
        <f>+O42*L44</f>
        <v>#REF!</v>
      </c>
      <c r="N44" s="19">
        <v>0</v>
      </c>
      <c r="O44" s="23" t="e">
        <f>+#REF!*N44</f>
        <v>#REF!</v>
      </c>
      <c r="P44" s="54">
        <v>0</v>
      </c>
      <c r="Q44" s="56">
        <f>+Q42*P44</f>
        <v>0</v>
      </c>
    </row>
    <row r="45" spans="1:17">
      <c r="A45" s="28"/>
      <c r="B45" s="50"/>
      <c r="C45" s="187" t="s">
        <v>27</v>
      </c>
      <c r="D45" s="188"/>
      <c r="E45" s="189"/>
      <c r="F45" s="54">
        <v>0</v>
      </c>
      <c r="G45" s="55">
        <f>+G47*F45</f>
        <v>0</v>
      </c>
      <c r="H45" s="54">
        <v>0</v>
      </c>
      <c r="I45" s="56">
        <f>+I42*H45</f>
        <v>0</v>
      </c>
      <c r="J45" s="54">
        <v>0</v>
      </c>
      <c r="K45" s="56">
        <f>+K42*J45</f>
        <v>0</v>
      </c>
      <c r="L45" s="19">
        <v>0</v>
      </c>
      <c r="M45" s="23" t="e">
        <f>+O42*L45</f>
        <v>#REF!</v>
      </c>
      <c r="N45" s="19">
        <v>0</v>
      </c>
      <c r="O45" s="23" t="e">
        <f>+#REF!*N45</f>
        <v>#REF!</v>
      </c>
      <c r="P45" s="54">
        <v>0</v>
      </c>
      <c r="Q45" s="56">
        <f>+Q42*P45</f>
        <v>0</v>
      </c>
    </row>
    <row r="46" spans="1:17">
      <c r="A46" s="27"/>
      <c r="B46" s="50"/>
      <c r="C46" s="187" t="s">
        <v>11</v>
      </c>
      <c r="D46" s="188"/>
      <c r="E46" s="189"/>
      <c r="F46" s="54">
        <v>0</v>
      </c>
      <c r="G46" s="55">
        <f>+G42*F46</f>
        <v>0</v>
      </c>
      <c r="H46" s="54">
        <v>0</v>
      </c>
      <c r="I46" s="55">
        <f>+I42*H46</f>
        <v>0</v>
      </c>
      <c r="J46" s="54">
        <v>0</v>
      </c>
      <c r="K46" s="55">
        <f>+K42*J46</f>
        <v>0</v>
      </c>
      <c r="L46" s="19">
        <v>0</v>
      </c>
      <c r="M46" s="22" t="e">
        <f>+O42*L46</f>
        <v>#REF!</v>
      </c>
      <c r="N46" s="19">
        <v>0</v>
      </c>
      <c r="O46" s="22">
        <f>+Q42*N46</f>
        <v>0</v>
      </c>
      <c r="P46" s="54">
        <v>0</v>
      </c>
      <c r="Q46" s="55">
        <f>+Q42*P46</f>
        <v>0</v>
      </c>
    </row>
    <row r="47" spans="1:17">
      <c r="A47" s="27"/>
      <c r="B47" s="50"/>
      <c r="C47" s="187" t="s">
        <v>10</v>
      </c>
      <c r="D47" s="188"/>
      <c r="E47" s="189"/>
      <c r="F47" s="54"/>
      <c r="G47" s="55">
        <f>+G42-G46</f>
        <v>50000</v>
      </c>
      <c r="H47" s="54"/>
      <c r="I47" s="55">
        <f>+I42+I43+I44+I45-I46</f>
        <v>25000</v>
      </c>
      <c r="J47" s="54"/>
      <c r="K47" s="55">
        <f>+K45+K42</f>
        <v>30000</v>
      </c>
      <c r="L47" s="19"/>
      <c r="M47" s="22" t="e">
        <f>+M42-M46</f>
        <v>#REF!</v>
      </c>
      <c r="N47" s="19"/>
      <c r="O47" s="22" t="e">
        <f>+O42-O46</f>
        <v>#REF!</v>
      </c>
      <c r="P47" s="54"/>
      <c r="Q47" s="55">
        <f>+Q45+Q42</f>
        <v>25000</v>
      </c>
    </row>
    <row r="48" spans="1:17">
      <c r="A48" s="27"/>
      <c r="B48" s="50"/>
      <c r="C48" s="187" t="s">
        <v>12</v>
      </c>
      <c r="D48" s="188"/>
      <c r="E48" s="189"/>
      <c r="F48" s="54">
        <v>0.19</v>
      </c>
      <c r="G48" s="55">
        <f>+G47*F48</f>
        <v>9500</v>
      </c>
      <c r="H48" s="54">
        <v>0.19</v>
      </c>
      <c r="I48" s="55">
        <f>+I47*H48</f>
        <v>4750</v>
      </c>
      <c r="J48" s="54">
        <v>0.19</v>
      </c>
      <c r="K48" s="55">
        <f>+K47*J48</f>
        <v>5700</v>
      </c>
      <c r="L48" s="19">
        <v>0.19</v>
      </c>
      <c r="M48" s="22" t="e">
        <f>+M47*L48</f>
        <v>#REF!</v>
      </c>
      <c r="N48" s="19">
        <v>0.19</v>
      </c>
      <c r="O48" s="22" t="e">
        <f>+O47*N48</f>
        <v>#REF!</v>
      </c>
      <c r="P48" s="54">
        <v>0.19</v>
      </c>
      <c r="Q48" s="55">
        <f>+Q47*P48</f>
        <v>4750</v>
      </c>
    </row>
    <row r="49" spans="1:17" ht="18.75">
      <c r="A49" s="27"/>
      <c r="B49" s="50"/>
      <c r="C49" s="187" t="s">
        <v>13</v>
      </c>
      <c r="D49" s="188"/>
      <c r="E49" s="189"/>
      <c r="F49" s="57" t="s">
        <v>23</v>
      </c>
      <c r="G49" s="52">
        <f>+G48+G47+G43+G44+G45</f>
        <v>59500</v>
      </c>
      <c r="H49" s="57" t="s">
        <v>23</v>
      </c>
      <c r="I49" s="52">
        <f>SUM(I47:I48)</f>
        <v>29750</v>
      </c>
      <c r="J49" s="57" t="s">
        <v>23</v>
      </c>
      <c r="K49" s="52">
        <f>+K47+K48</f>
        <v>35700</v>
      </c>
      <c r="L49" s="21" t="s">
        <v>23</v>
      </c>
      <c r="M49" s="25" t="e">
        <f>+M47+M48</f>
        <v>#REF!</v>
      </c>
      <c r="N49" s="21" t="s">
        <v>23</v>
      </c>
      <c r="O49" s="25" t="e">
        <f>+O47+O48</f>
        <v>#REF!</v>
      </c>
      <c r="P49" s="57" t="s">
        <v>23</v>
      </c>
      <c r="Q49" s="52">
        <f>+Q47+Q48</f>
        <v>29750</v>
      </c>
    </row>
    <row r="50" spans="1:17">
      <c r="A50" s="27"/>
      <c r="B50" s="50">
        <f t="shared" ref="B50:B53" si="1">+B49+1</f>
        <v>1</v>
      </c>
      <c r="C50" s="187" t="s">
        <v>14</v>
      </c>
      <c r="D50" s="188"/>
      <c r="E50" s="189"/>
      <c r="F50" s="200" t="s">
        <v>39</v>
      </c>
      <c r="G50" s="201"/>
      <c r="H50" s="200" t="s">
        <v>39</v>
      </c>
      <c r="I50" s="201"/>
      <c r="J50" s="200" t="s">
        <v>39</v>
      </c>
      <c r="K50" s="201"/>
      <c r="L50" s="195" t="s">
        <v>39</v>
      </c>
      <c r="M50" s="196"/>
      <c r="N50" s="197"/>
      <c r="O50" s="198"/>
      <c r="P50" s="200" t="s">
        <v>39</v>
      </c>
      <c r="Q50" s="201"/>
    </row>
    <row r="51" spans="1:17">
      <c r="A51" s="27"/>
      <c r="B51" s="50">
        <f t="shared" si="1"/>
        <v>2</v>
      </c>
      <c r="C51" s="187" t="s">
        <v>15</v>
      </c>
      <c r="D51" s="188"/>
      <c r="E51" s="189"/>
      <c r="F51" s="199">
        <v>10</v>
      </c>
      <c r="G51" s="199"/>
      <c r="H51" s="202">
        <v>15</v>
      </c>
      <c r="I51" s="203"/>
      <c r="J51" s="202">
        <v>20</v>
      </c>
      <c r="K51" s="203"/>
      <c r="L51" s="190">
        <v>90</v>
      </c>
      <c r="M51" s="190"/>
      <c r="N51" s="190">
        <v>90</v>
      </c>
      <c r="O51" s="190"/>
      <c r="P51" s="202">
        <v>25</v>
      </c>
      <c r="Q51" s="203"/>
    </row>
    <row r="52" spans="1:17">
      <c r="A52" s="27"/>
      <c r="B52" s="50">
        <f t="shared" si="1"/>
        <v>3</v>
      </c>
      <c r="C52" s="187" t="s">
        <v>16</v>
      </c>
      <c r="D52" s="188"/>
      <c r="E52" s="189"/>
      <c r="F52" s="185">
        <v>15</v>
      </c>
      <c r="G52" s="186"/>
      <c r="H52" s="185">
        <v>10</v>
      </c>
      <c r="I52" s="186"/>
      <c r="J52" s="185">
        <v>13</v>
      </c>
      <c r="K52" s="186"/>
      <c r="L52" s="185">
        <v>4</v>
      </c>
      <c r="M52" s="186"/>
      <c r="N52" s="185">
        <v>5</v>
      </c>
      <c r="O52" s="186"/>
      <c r="P52" s="185">
        <v>10</v>
      </c>
      <c r="Q52" s="186"/>
    </row>
    <row r="53" spans="1:17">
      <c r="A53" s="27"/>
      <c r="B53" s="50">
        <f t="shared" si="1"/>
        <v>4</v>
      </c>
      <c r="C53" s="187" t="s">
        <v>17</v>
      </c>
      <c r="D53" s="188"/>
      <c r="E53" s="189"/>
      <c r="F53" s="241">
        <v>0</v>
      </c>
      <c r="G53" s="242"/>
      <c r="H53" s="241">
        <v>0</v>
      </c>
      <c r="I53" s="242"/>
      <c r="J53" s="241">
        <v>0</v>
      </c>
      <c r="K53" s="242"/>
      <c r="L53" s="241">
        <v>3</v>
      </c>
      <c r="M53" s="242"/>
      <c r="N53" s="241">
        <v>4</v>
      </c>
      <c r="O53" s="242"/>
      <c r="P53" s="241">
        <v>0</v>
      </c>
      <c r="Q53" s="242"/>
    </row>
    <row r="54" spans="1:17">
      <c r="A54" s="244"/>
      <c r="B54" s="245"/>
      <c r="C54" s="245"/>
      <c r="D54" s="245"/>
      <c r="E54" s="245"/>
      <c r="F54" s="245"/>
      <c r="G54" s="245"/>
      <c r="H54" s="245"/>
      <c r="I54" s="245"/>
      <c r="J54" s="245"/>
      <c r="K54" s="245"/>
      <c r="L54" s="245"/>
      <c r="M54" s="245"/>
      <c r="N54" s="245"/>
      <c r="O54" s="245"/>
    </row>
    <row r="55" spans="1:17" s="20" customFormat="1">
      <c r="A55" s="9"/>
      <c r="B55" s="178" t="s">
        <v>18</v>
      </c>
      <c r="C55" s="178"/>
      <c r="D55" s="178"/>
      <c r="E55" s="178"/>
      <c r="F55" s="249" t="s">
        <v>34</v>
      </c>
      <c r="G55" s="250"/>
      <c r="H55" s="250"/>
      <c r="I55" s="250"/>
      <c r="J55" s="250"/>
      <c r="K55" s="250"/>
      <c r="L55" s="250"/>
      <c r="M55" s="250"/>
      <c r="N55" s="250"/>
      <c r="O55" s="250"/>
      <c r="P55" s="250"/>
      <c r="Q55" s="250"/>
    </row>
    <row r="56" spans="1:17" s="20" customFormat="1" ht="30.75" customHeight="1">
      <c r="A56" s="9"/>
      <c r="B56" s="178" t="s">
        <v>7</v>
      </c>
      <c r="C56" s="222"/>
      <c r="D56" s="178" t="s">
        <v>19</v>
      </c>
      <c r="E56" s="178"/>
      <c r="F56" s="165" t="str">
        <f>F11</f>
        <v>ELECTROINDUSTRIALES SJ</v>
      </c>
      <c r="G56" s="165"/>
      <c r="H56" s="165" t="str">
        <f>+H11</f>
        <v>INTERNACIONAL DE ELECTRICOS</v>
      </c>
      <c r="I56" s="165"/>
      <c r="J56" s="184" t="str">
        <f>+J11</f>
        <v>ELECTRICOS HR</v>
      </c>
      <c r="K56" s="184"/>
      <c r="L56" s="184">
        <f>+L11</f>
        <v>0</v>
      </c>
      <c r="M56" s="184"/>
      <c r="N56" s="184">
        <f>+N11</f>
        <v>0</v>
      </c>
      <c r="O56" s="184"/>
      <c r="P56" s="264" t="str">
        <f>P11</f>
        <v>SAS</v>
      </c>
      <c r="Q56" s="264"/>
    </row>
    <row r="57" spans="1:17" s="20" customFormat="1">
      <c r="A57" s="9"/>
      <c r="B57" s="179"/>
      <c r="C57" s="179"/>
      <c r="D57" s="179"/>
      <c r="E57" s="179"/>
      <c r="F57" s="166"/>
      <c r="G57" s="166"/>
      <c r="H57" s="166"/>
      <c r="I57" s="166"/>
      <c r="J57" s="166"/>
      <c r="K57" s="166"/>
      <c r="L57" s="166"/>
      <c r="M57" s="166"/>
      <c r="N57" s="166"/>
      <c r="O57" s="166"/>
      <c r="P57" s="265"/>
      <c r="Q57" s="265"/>
    </row>
    <row r="58" spans="1:17" s="38" customFormat="1" ht="14.25" customHeight="1">
      <c r="A58" s="37"/>
      <c r="B58" s="180" t="s">
        <v>37</v>
      </c>
      <c r="C58" s="180"/>
      <c r="D58" s="180"/>
      <c r="E58" s="180"/>
      <c r="F58" s="174">
        <f>(G49)</f>
        <v>59500</v>
      </c>
      <c r="G58" s="174"/>
      <c r="H58" s="174">
        <f>+I49</f>
        <v>29750</v>
      </c>
      <c r="I58" s="174"/>
      <c r="J58" s="174">
        <f>+K49</f>
        <v>35700</v>
      </c>
      <c r="K58" s="174"/>
      <c r="L58" s="174">
        <f>+N58</f>
        <v>1000000000</v>
      </c>
      <c r="M58" s="174"/>
      <c r="N58" s="174">
        <v>1000000000</v>
      </c>
      <c r="O58" s="174"/>
      <c r="P58" s="266">
        <f>Q49</f>
        <v>29750</v>
      </c>
      <c r="Q58" s="267"/>
    </row>
    <row r="59" spans="1:17" s="20" customFormat="1">
      <c r="A59" s="7"/>
      <c r="B59" s="243" t="s">
        <v>20</v>
      </c>
      <c r="C59" s="222"/>
      <c r="D59" s="181">
        <v>0.35</v>
      </c>
      <c r="E59" s="181"/>
      <c r="F59" s="171">
        <f>F58</f>
        <v>59500</v>
      </c>
      <c r="G59" s="171"/>
      <c r="H59" s="173">
        <f>H58</f>
        <v>29750</v>
      </c>
      <c r="I59" s="173"/>
      <c r="J59" s="171">
        <f>J58</f>
        <v>35700</v>
      </c>
      <c r="K59" s="171"/>
      <c r="L59" s="175">
        <f>IF($L$58=MIN(F58:O58),0.35,MIN(F58:O58)/$L$58*D59)</f>
        <v>1.0412500000000001E-5</v>
      </c>
      <c r="M59" s="175"/>
      <c r="N59" s="175">
        <f>IF($N$58=MIN(F58:O58),0.35,MIN(F58:O58)/$N$58*D59)</f>
        <v>1.0412500000000001E-5</v>
      </c>
      <c r="O59" s="175"/>
      <c r="P59" s="246">
        <f>P58</f>
        <v>29750</v>
      </c>
      <c r="Q59" s="246"/>
    </row>
    <row r="60" spans="1:17" s="20" customFormat="1">
      <c r="A60" s="7"/>
      <c r="B60" s="243" t="s">
        <v>35</v>
      </c>
      <c r="C60" s="222"/>
      <c r="D60" s="181">
        <v>0.05</v>
      </c>
      <c r="E60" s="181"/>
      <c r="F60" s="171">
        <v>0</v>
      </c>
      <c r="G60" s="171"/>
      <c r="H60" s="173">
        <v>0</v>
      </c>
      <c r="I60" s="173"/>
      <c r="J60" s="171">
        <v>0</v>
      </c>
      <c r="K60" s="171"/>
      <c r="L60" s="175">
        <v>0.25</v>
      </c>
      <c r="M60" s="175"/>
      <c r="N60" s="175">
        <v>0.25</v>
      </c>
      <c r="O60" s="175"/>
      <c r="P60" s="246">
        <v>0</v>
      </c>
      <c r="Q60" s="246"/>
    </row>
    <row r="61" spans="1:17" s="20" customFormat="1">
      <c r="A61" s="1"/>
      <c r="B61" s="243" t="s">
        <v>38</v>
      </c>
      <c r="C61" s="222"/>
      <c r="D61" s="181">
        <v>0.25</v>
      </c>
      <c r="E61" s="181"/>
      <c r="F61" s="171">
        <f>F52</f>
        <v>15</v>
      </c>
      <c r="G61" s="171"/>
      <c r="H61" s="171">
        <f>H52</f>
        <v>10</v>
      </c>
      <c r="I61" s="171"/>
      <c r="J61" s="171">
        <f t="shared" ref="J61" si="2">J52</f>
        <v>13</v>
      </c>
      <c r="K61" s="171"/>
      <c r="L61" s="175">
        <f>IF(L52=MAX(F52:O52),0.1,L52/MAX(F52:O52)*D61)</f>
        <v>6.6666666666666666E-2</v>
      </c>
      <c r="M61" s="175"/>
      <c r="N61" s="175">
        <f>IF(N52=MAX(F52:O52),0.1,N52/MAX(F52:O52)*D61)</f>
        <v>8.3333333333333329E-2</v>
      </c>
      <c r="O61" s="175"/>
      <c r="P61" s="246">
        <f>P52</f>
        <v>10</v>
      </c>
      <c r="Q61" s="246"/>
    </row>
    <row r="62" spans="1:17" s="20" customFormat="1">
      <c r="A62" s="7"/>
      <c r="B62" s="243" t="s">
        <v>36</v>
      </c>
      <c r="C62" s="222"/>
      <c r="D62" s="181">
        <v>0.25</v>
      </c>
      <c r="E62" s="181"/>
      <c r="F62" s="172">
        <f>'Concepto área solicitante '!S30</f>
        <v>0.25</v>
      </c>
      <c r="G62" s="172"/>
      <c r="H62" s="172">
        <f>'Concepto área solicitante '!S31</f>
        <v>0.25</v>
      </c>
      <c r="I62" s="172"/>
      <c r="J62" s="172">
        <f>'Concepto área solicitante '!S32</f>
        <v>0.25</v>
      </c>
      <c r="K62" s="172"/>
      <c r="L62" s="175"/>
      <c r="M62" s="175"/>
      <c r="N62" s="175"/>
      <c r="O62" s="175"/>
      <c r="P62" s="247">
        <f>'Concepto área solicitante '!S33</f>
        <v>0.25</v>
      </c>
      <c r="Q62" s="246"/>
    </row>
    <row r="63" spans="1:17" s="20" customFormat="1">
      <c r="A63" s="7"/>
      <c r="B63" s="243" t="s">
        <v>21</v>
      </c>
      <c r="C63" s="222"/>
      <c r="D63" s="181">
        <v>0.1</v>
      </c>
      <c r="E63" s="181"/>
      <c r="F63" s="171">
        <f>F51</f>
        <v>10</v>
      </c>
      <c r="G63" s="171"/>
      <c r="H63" s="171">
        <f t="shared" ref="H63" si="3">H51</f>
        <v>15</v>
      </c>
      <c r="I63" s="171"/>
      <c r="J63" s="171">
        <f t="shared" ref="J63" si="4">J51</f>
        <v>20</v>
      </c>
      <c r="K63" s="171"/>
      <c r="L63" s="175">
        <f>IF(L51=MIN(F51:O51),0.15,MIN(F51:O51)/L51*D63)</f>
        <v>1.1111111111111112E-2</v>
      </c>
      <c r="M63" s="175"/>
      <c r="N63" s="175">
        <f>IF(N51=MIN(F51:O51),0.15,MIN(F51:O51)/N51*D63)</f>
        <v>1.1111111111111112E-2</v>
      </c>
      <c r="O63" s="175"/>
      <c r="P63" s="246">
        <f>P51</f>
        <v>25</v>
      </c>
      <c r="Q63" s="246"/>
    </row>
    <row r="64" spans="1:17" s="20" customFormat="1">
      <c r="B64" s="176" t="s">
        <v>22</v>
      </c>
      <c r="C64" s="177"/>
      <c r="D64" s="182">
        <f>SUM(D59:D63)</f>
        <v>0.99999999999999989</v>
      </c>
      <c r="E64" s="183"/>
      <c r="F64" s="167">
        <f>Hoja1!K93</f>
        <v>3.4307607771764439E-6</v>
      </c>
      <c r="G64" s="168"/>
      <c r="H64" s="167">
        <f>Hoja1!K94</f>
        <v>0.33488366220679533</v>
      </c>
      <c r="I64" s="168"/>
      <c r="J64" s="169">
        <f>Hoja1!K95</f>
        <v>0.33022924482563221</v>
      </c>
      <c r="K64" s="170"/>
      <c r="L64" s="167">
        <f>SUM(L59:L63)</f>
        <v>0.32778819027777778</v>
      </c>
      <c r="M64" s="168"/>
      <c r="N64" s="167">
        <f>SUM(N59:N63)</f>
        <v>0.34445485694444444</v>
      </c>
      <c r="O64" s="168"/>
      <c r="P64" s="248">
        <f>Hoja1!K96</f>
        <v>0.33488366220679533</v>
      </c>
      <c r="Q64" s="248"/>
    </row>
    <row r="65" spans="1:11">
      <c r="A65" s="1"/>
      <c r="B65" s="7"/>
      <c r="C65" s="2"/>
      <c r="D65" s="2"/>
      <c r="E65" s="8"/>
      <c r="I65" s="10"/>
      <c r="J65" s="4"/>
      <c r="K65" s="4"/>
    </row>
    <row r="67" spans="1:11">
      <c r="H67" s="11"/>
    </row>
    <row r="68" spans="1:11">
      <c r="H68" s="11"/>
    </row>
    <row r="69" spans="1:11">
      <c r="I69" s="12"/>
    </row>
  </sheetData>
  <mergeCells count="144">
    <mergeCell ref="J2:Q2"/>
    <mergeCell ref="J3:Q3"/>
    <mergeCell ref="I4:Q4"/>
    <mergeCell ref="A5:Q5"/>
    <mergeCell ref="E6:Q6"/>
    <mergeCell ref="J7:Q7"/>
    <mergeCell ref="J8:Q8"/>
    <mergeCell ref="F10:Q10"/>
    <mergeCell ref="P11:P12"/>
    <mergeCell ref="Q11:Q12"/>
    <mergeCell ref="C45:E45"/>
    <mergeCell ref="C46:E46"/>
    <mergeCell ref="C49:E49"/>
    <mergeCell ref="P59:Q59"/>
    <mergeCell ref="P60:Q60"/>
    <mergeCell ref="P61:Q61"/>
    <mergeCell ref="P62:Q62"/>
    <mergeCell ref="P63:Q63"/>
    <mergeCell ref="P64:Q64"/>
    <mergeCell ref="F55:Q55"/>
    <mergeCell ref="P50:Q50"/>
    <mergeCell ref="P51:Q51"/>
    <mergeCell ref="P52:Q52"/>
    <mergeCell ref="P53:Q53"/>
    <mergeCell ref="P56:Q56"/>
    <mergeCell ref="P57:Q57"/>
    <mergeCell ref="P58:Q58"/>
    <mergeCell ref="F60:G60"/>
    <mergeCell ref="F61:G61"/>
    <mergeCell ref="F62:G62"/>
    <mergeCell ref="F63:G63"/>
    <mergeCell ref="C53:E53"/>
    <mergeCell ref="F53:G53"/>
    <mergeCell ref="B56:C56"/>
    <mergeCell ref="B59:C59"/>
    <mergeCell ref="B60:C60"/>
    <mergeCell ref="B61:C61"/>
    <mergeCell ref="B62:C62"/>
    <mergeCell ref="B63:C63"/>
    <mergeCell ref="A54:O54"/>
    <mergeCell ref="N53:O53"/>
    <mergeCell ref="L53:M53"/>
    <mergeCell ref="J53:K53"/>
    <mergeCell ref="H53:I53"/>
    <mergeCell ref="L61:M61"/>
    <mergeCell ref="L62:M62"/>
    <mergeCell ref="L63:M63"/>
    <mergeCell ref="C48:E48"/>
    <mergeCell ref="C47:E47"/>
    <mergeCell ref="E4:H4"/>
    <mergeCell ref="E8:G8"/>
    <mergeCell ref="H8:I8"/>
    <mergeCell ref="K11:K12"/>
    <mergeCell ref="G11:G12"/>
    <mergeCell ref="J11:J12"/>
    <mergeCell ref="I11:I12"/>
    <mergeCell ref="H11:H12"/>
    <mergeCell ref="A2:D4"/>
    <mergeCell ref="E2:I3"/>
    <mergeCell ref="A6:D6"/>
    <mergeCell ref="A7:D7"/>
    <mergeCell ref="E7:G7"/>
    <mergeCell ref="A11:A12"/>
    <mergeCell ref="B11:B12"/>
    <mergeCell ref="C11:C12"/>
    <mergeCell ref="D11:D12"/>
    <mergeCell ref="E11:E12"/>
    <mergeCell ref="F11:F12"/>
    <mergeCell ref="A8:D8"/>
    <mergeCell ref="C42:E42"/>
    <mergeCell ref="H7:I7"/>
    <mergeCell ref="N52:O52"/>
    <mergeCell ref="L52:M52"/>
    <mergeCell ref="J52:K52"/>
    <mergeCell ref="H52:I52"/>
    <mergeCell ref="F52:G52"/>
    <mergeCell ref="C52:E52"/>
    <mergeCell ref="L51:M51"/>
    <mergeCell ref="N51:O51"/>
    <mergeCell ref="L11:L12"/>
    <mergeCell ref="M11:M12"/>
    <mergeCell ref="N11:N12"/>
    <mergeCell ref="O11:O12"/>
    <mergeCell ref="L50:M50"/>
    <mergeCell ref="N50:O50"/>
    <mergeCell ref="F51:G51"/>
    <mergeCell ref="F50:G50"/>
    <mergeCell ref="H50:I50"/>
    <mergeCell ref="J51:K51"/>
    <mergeCell ref="J50:K50"/>
    <mergeCell ref="H51:I51"/>
    <mergeCell ref="C43:E43"/>
    <mergeCell ref="C51:E51"/>
    <mergeCell ref="C44:E44"/>
    <mergeCell ref="C50:E50"/>
    <mergeCell ref="H56:I56"/>
    <mergeCell ref="H57:I57"/>
    <mergeCell ref="H58:I58"/>
    <mergeCell ref="H59:I59"/>
    <mergeCell ref="N60:O60"/>
    <mergeCell ref="N61:O61"/>
    <mergeCell ref="N62:O62"/>
    <mergeCell ref="N63:O63"/>
    <mergeCell ref="N56:O56"/>
    <mergeCell ref="N57:O57"/>
    <mergeCell ref="N58:O58"/>
    <mergeCell ref="N59:O59"/>
    <mergeCell ref="L56:M56"/>
    <mergeCell ref="L57:M57"/>
    <mergeCell ref="B64:C64"/>
    <mergeCell ref="B55:E55"/>
    <mergeCell ref="D56:E56"/>
    <mergeCell ref="B57:E57"/>
    <mergeCell ref="B58:E58"/>
    <mergeCell ref="D59:E59"/>
    <mergeCell ref="D60:E60"/>
    <mergeCell ref="D61:E61"/>
    <mergeCell ref="D62:E62"/>
    <mergeCell ref="D63:E63"/>
    <mergeCell ref="D64:E64"/>
    <mergeCell ref="F56:G56"/>
    <mergeCell ref="F57:G57"/>
    <mergeCell ref="N64:O64"/>
    <mergeCell ref="L64:M64"/>
    <mergeCell ref="J64:K64"/>
    <mergeCell ref="H64:I64"/>
    <mergeCell ref="F64:G64"/>
    <mergeCell ref="J60:K60"/>
    <mergeCell ref="J61:K61"/>
    <mergeCell ref="J62:K62"/>
    <mergeCell ref="J63:K63"/>
    <mergeCell ref="H60:I60"/>
    <mergeCell ref="H61:I61"/>
    <mergeCell ref="H62:I62"/>
    <mergeCell ref="H63:I63"/>
    <mergeCell ref="F58:G58"/>
    <mergeCell ref="F59:G59"/>
    <mergeCell ref="L60:M60"/>
    <mergeCell ref="L58:M58"/>
    <mergeCell ref="L59:M59"/>
    <mergeCell ref="J56:K56"/>
    <mergeCell ref="J57:K57"/>
    <mergeCell ref="J58:K58"/>
    <mergeCell ref="J59:K59"/>
  </mergeCells>
  <pageMargins left="0.25" right="0.25" top="0.75" bottom="0.75" header="0.3" footer="0.3"/>
  <pageSetup scale="6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K102"/>
  <sheetViews>
    <sheetView workbookViewId="0">
      <selection activeCell="J100" sqref="J100"/>
    </sheetView>
  </sheetViews>
  <sheetFormatPr baseColWidth="10" defaultRowHeight="15"/>
  <cols>
    <col min="1" max="1" width="29.42578125" bestFit="1" customWidth="1"/>
    <col min="2" max="2" width="12" bestFit="1" customWidth="1"/>
    <col min="3" max="3" width="24.85546875" bestFit="1" customWidth="1"/>
    <col min="4" max="4" width="21.28515625" bestFit="1" customWidth="1"/>
    <col min="5" max="5" width="14.85546875" bestFit="1" customWidth="1"/>
  </cols>
  <sheetData>
    <row r="3" spans="1:6">
      <c r="A3" s="32"/>
      <c r="B3" s="58" t="str">
        <f>COMPARATIVO!B59</f>
        <v>Precio</v>
      </c>
      <c r="C3" s="58" t="str">
        <f>COMPARATIVO!B61</f>
        <v>Garantia</v>
      </c>
      <c r="D3" s="58" t="str">
        <f>COMPARATIVO!B62</f>
        <v>Concepto area experta</v>
      </c>
      <c r="E3" s="58" t="str">
        <f>COMPARATIVO!B63</f>
        <v>Tiempo Entrega</v>
      </c>
      <c r="F3" s="58" t="str">
        <f>COMPARATIVO!B60</f>
        <v>Experiencia</v>
      </c>
    </row>
    <row r="4" spans="1:6">
      <c r="A4" s="32" t="str">
        <f>COMPARATIVO!F56</f>
        <v>ELECTROINDUSTRIALES SJ</v>
      </c>
      <c r="B4" s="95">
        <f>COMPARATIVO!F59</f>
        <v>59500</v>
      </c>
      <c r="C4" s="95">
        <f>COMPARATIVO!F61</f>
        <v>15</v>
      </c>
      <c r="D4" s="32">
        <f>COMPARATIVO!F62</f>
        <v>0.25</v>
      </c>
      <c r="E4" s="32">
        <f>COMPARATIVO!F63</f>
        <v>10</v>
      </c>
      <c r="F4" s="32">
        <f>COMPARATIVO!F60</f>
        <v>0</v>
      </c>
    </row>
    <row r="5" spans="1:6">
      <c r="A5" s="32" t="str">
        <f>COMPARATIVO!H56</f>
        <v>INTERNACIONAL DE ELECTRICOS</v>
      </c>
      <c r="B5" s="32">
        <f>COMPARATIVO!H59</f>
        <v>29750</v>
      </c>
      <c r="C5" s="32">
        <f>COMPARATIVO!H61</f>
        <v>10</v>
      </c>
      <c r="D5" s="32">
        <f>COMPARATIVO!H62</f>
        <v>0.25</v>
      </c>
      <c r="E5" s="32">
        <f>COMPARATIVO!H63</f>
        <v>15</v>
      </c>
      <c r="F5" s="32">
        <f>COMPARATIVO!H60</f>
        <v>0</v>
      </c>
    </row>
    <row r="6" spans="1:6">
      <c r="A6" s="32" t="str">
        <f>COMPARATIVO!J56</f>
        <v>ELECTRICOS HR</v>
      </c>
      <c r="B6" s="32">
        <f>COMPARATIVO!J59</f>
        <v>35700</v>
      </c>
      <c r="C6" s="32">
        <f>COMPARATIVO!J61</f>
        <v>13</v>
      </c>
      <c r="D6" s="32">
        <f>COMPARATIVO!J62</f>
        <v>0.25</v>
      </c>
      <c r="E6" s="32">
        <f>COMPARATIVO!J63</f>
        <v>20</v>
      </c>
      <c r="F6" s="32">
        <f>COMPARATIVO!J60</f>
        <v>0</v>
      </c>
    </row>
    <row r="7" spans="1:6">
      <c r="A7" s="32" t="str">
        <f>COMPARATIVO!P11</f>
        <v>SAS</v>
      </c>
      <c r="B7" s="32">
        <f>COMPARATIVO!P59</f>
        <v>29750</v>
      </c>
      <c r="C7" s="32">
        <f>COMPARATIVO!P61</f>
        <v>10</v>
      </c>
      <c r="D7" s="32">
        <f>COMPARATIVO!P62</f>
        <v>0.25</v>
      </c>
      <c r="E7" s="32">
        <f>COMPARATIVO!P63</f>
        <v>25</v>
      </c>
      <c r="F7" s="32">
        <f>COMPARATIVO!P60</f>
        <v>0</v>
      </c>
    </row>
    <row r="12" spans="1:6">
      <c r="A12" s="32" t="s">
        <v>43</v>
      </c>
      <c r="B12" s="58" t="str">
        <f>B3</f>
        <v>Precio</v>
      </c>
      <c r="C12" s="58" t="str">
        <f t="shared" ref="C12:F12" si="0">C3</f>
        <v>Garantia</v>
      </c>
      <c r="D12" s="58" t="str">
        <f t="shared" si="0"/>
        <v>Concepto area experta</v>
      </c>
      <c r="E12" s="58" t="str">
        <f t="shared" si="0"/>
        <v>Tiempo Entrega</v>
      </c>
      <c r="F12" s="58" t="str">
        <f t="shared" si="0"/>
        <v>Experiencia</v>
      </c>
    </row>
    <row r="13" spans="1:6">
      <c r="A13" s="32" t="str">
        <f>A4</f>
        <v>ELECTROINDUSTRIALES SJ</v>
      </c>
      <c r="B13" s="32">
        <f>IF(B4=0,B4+0.0000001,B4)</f>
        <v>59500</v>
      </c>
      <c r="C13" s="32">
        <f t="shared" ref="C13:E13" si="1">IF(C4=0,C4+0.0000001,C4)</f>
        <v>15</v>
      </c>
      <c r="D13" s="32">
        <f t="shared" si="1"/>
        <v>0.25</v>
      </c>
      <c r="E13" s="32">
        <f t="shared" si="1"/>
        <v>10</v>
      </c>
      <c r="F13" s="32">
        <f>IF(F4=0,F4+0.0000001,F4)</f>
        <v>9.9999999999999995E-8</v>
      </c>
    </row>
    <row r="14" spans="1:6">
      <c r="A14" s="32" t="str">
        <f t="shared" ref="A14:A15" si="2">A5</f>
        <v>INTERNACIONAL DE ELECTRICOS</v>
      </c>
      <c r="B14" s="32">
        <f t="shared" ref="B14:F15" si="3">IF(B5=0,B5+0.0000001,B5)</f>
        <v>29750</v>
      </c>
      <c r="C14" s="32">
        <f t="shared" si="3"/>
        <v>10</v>
      </c>
      <c r="D14" s="32">
        <f t="shared" si="3"/>
        <v>0.25</v>
      </c>
      <c r="E14" s="32">
        <f t="shared" si="3"/>
        <v>15</v>
      </c>
      <c r="F14" s="32">
        <f t="shared" si="3"/>
        <v>9.9999999999999995E-8</v>
      </c>
    </row>
    <row r="15" spans="1:6">
      <c r="A15" s="32" t="str">
        <f t="shared" si="2"/>
        <v>ELECTRICOS HR</v>
      </c>
      <c r="B15" s="32">
        <f t="shared" si="3"/>
        <v>35700</v>
      </c>
      <c r="C15" s="32">
        <f t="shared" si="3"/>
        <v>13</v>
      </c>
      <c r="D15" s="32">
        <f t="shared" si="3"/>
        <v>0.25</v>
      </c>
      <c r="E15" s="32">
        <f t="shared" si="3"/>
        <v>20</v>
      </c>
      <c r="F15" s="32">
        <f t="shared" si="3"/>
        <v>9.9999999999999995E-8</v>
      </c>
    </row>
    <row r="16" spans="1:6">
      <c r="A16" s="32" t="str">
        <f>A7</f>
        <v>SAS</v>
      </c>
      <c r="B16" s="32">
        <f t="shared" ref="B16:E16" si="4">B7</f>
        <v>29750</v>
      </c>
      <c r="C16" s="32">
        <f t="shared" si="4"/>
        <v>10</v>
      </c>
      <c r="D16" s="32">
        <f t="shared" si="4"/>
        <v>0.25</v>
      </c>
      <c r="E16" s="32">
        <f t="shared" si="4"/>
        <v>25</v>
      </c>
      <c r="F16" s="32">
        <f t="shared" ref="F16" si="5">IF(F7=0,F7+0.0000001,F7)</f>
        <v>9.9999999999999995E-8</v>
      </c>
    </row>
    <row r="20" spans="1:6">
      <c r="A20" s="32" t="s">
        <v>45</v>
      </c>
      <c r="B20" s="58" t="str">
        <f>B12</f>
        <v>Precio</v>
      </c>
      <c r="C20" s="58" t="str">
        <f t="shared" ref="C20:F20" si="6">C12</f>
        <v>Garantia</v>
      </c>
      <c r="D20" s="58" t="str">
        <f t="shared" si="6"/>
        <v>Concepto area experta</v>
      </c>
      <c r="E20" s="58" t="str">
        <f t="shared" si="6"/>
        <v>Tiempo Entrega</v>
      </c>
      <c r="F20" s="58" t="str">
        <f t="shared" si="6"/>
        <v>Experiencia</v>
      </c>
    </row>
    <row r="21" spans="1:6">
      <c r="A21" s="32" t="str">
        <f>A13</f>
        <v>ELECTROINDUSTRIALES SJ</v>
      </c>
      <c r="B21" s="32">
        <f>B13/SUM($B$13:$B$16)</f>
        <v>0.38461538461538464</v>
      </c>
      <c r="C21" s="32">
        <f>C13/SUM($C$13:$C$16)</f>
        <v>0.3125</v>
      </c>
      <c r="D21" s="32">
        <f>D13/SUM($D$13:$D$16)</f>
        <v>0.25</v>
      </c>
      <c r="E21" s="32">
        <f>E13/SUM($E$13:$E$16)</f>
        <v>0.14285714285714285</v>
      </c>
      <c r="F21" s="32">
        <f>F13/SUM($F$13:$F$16)</f>
        <v>0.25</v>
      </c>
    </row>
    <row r="22" spans="1:6">
      <c r="A22" s="32" t="str">
        <f t="shared" ref="A22:A23" si="7">A14</f>
        <v>INTERNACIONAL DE ELECTRICOS</v>
      </c>
      <c r="B22" s="32">
        <f t="shared" ref="B22:B23" si="8">B14/SUM($B$13:$B$16)</f>
        <v>0.19230769230769232</v>
      </c>
      <c r="C22" s="32">
        <f t="shared" ref="C22:C24" si="9">C14/SUM($C$13:$C$16)</f>
        <v>0.20833333333333334</v>
      </c>
      <c r="D22" s="32">
        <f t="shared" ref="D22:D23" si="10">D14/SUM($D$13:$D$16)</f>
        <v>0.25</v>
      </c>
      <c r="E22" s="32">
        <f t="shared" ref="E22:E23" si="11">E14/SUM($E$13:$E$16)</f>
        <v>0.21428571428571427</v>
      </c>
      <c r="F22" s="32">
        <f t="shared" ref="F22:F24" si="12">F14/SUM($F$13:$F$16)</f>
        <v>0.25</v>
      </c>
    </row>
    <row r="23" spans="1:6">
      <c r="A23" s="32" t="str">
        <f t="shared" si="7"/>
        <v>ELECTRICOS HR</v>
      </c>
      <c r="B23" s="32">
        <f t="shared" si="8"/>
        <v>0.23076923076923078</v>
      </c>
      <c r="C23" s="32">
        <f t="shared" si="9"/>
        <v>0.27083333333333331</v>
      </c>
      <c r="D23" s="32">
        <f t="shared" si="10"/>
        <v>0.25</v>
      </c>
      <c r="E23" s="32">
        <f t="shared" si="11"/>
        <v>0.2857142857142857</v>
      </c>
      <c r="F23" s="32">
        <f t="shared" si="12"/>
        <v>0.25</v>
      </c>
    </row>
    <row r="24" spans="1:6">
      <c r="A24" s="32" t="str">
        <f>A16</f>
        <v>SAS</v>
      </c>
      <c r="B24" s="32">
        <f>B16/SUM($B$13:$B$16)</f>
        <v>0.19230769230769232</v>
      </c>
      <c r="C24" s="32">
        <f t="shared" si="9"/>
        <v>0.20833333333333334</v>
      </c>
      <c r="D24" s="32">
        <f>D16/SUM($D$13:$D$16)</f>
        <v>0.25</v>
      </c>
      <c r="E24" s="32">
        <f>E16/SUM($E$13:$E$16)</f>
        <v>0.35714285714285715</v>
      </c>
      <c r="F24" s="32">
        <f t="shared" si="12"/>
        <v>0.25</v>
      </c>
    </row>
    <row r="27" spans="1:6">
      <c r="A27" s="32" t="s">
        <v>44</v>
      </c>
      <c r="B27" s="58" t="str">
        <f>B20</f>
        <v>Precio</v>
      </c>
      <c r="C27" s="58" t="str">
        <f t="shared" ref="C27:F27" si="13">C20</f>
        <v>Garantia</v>
      </c>
      <c r="D27" s="58" t="str">
        <f t="shared" si="13"/>
        <v>Concepto area experta</v>
      </c>
      <c r="E27" s="58" t="str">
        <f t="shared" si="13"/>
        <v>Tiempo Entrega</v>
      </c>
      <c r="F27" s="58" t="str">
        <f t="shared" si="13"/>
        <v>Experiencia</v>
      </c>
    </row>
    <row r="28" spans="1:6">
      <c r="A28" s="32" t="str">
        <f>A21</f>
        <v>ELECTROINDUSTRIALES SJ</v>
      </c>
      <c r="B28" s="32">
        <f>LOG(B21)</f>
        <v>-0.41497334797081792</v>
      </c>
      <c r="C28" s="32">
        <f t="shared" ref="C28:D28" si="14">LOG(C21)</f>
        <v>-0.50514997831990593</v>
      </c>
      <c r="D28" s="32">
        <f t="shared" si="14"/>
        <v>-0.6020599913279624</v>
      </c>
      <c r="E28" s="32">
        <f t="shared" ref="E28:F28" si="15">LOG(E21)</f>
        <v>-0.84509804001425681</v>
      </c>
      <c r="F28" s="32">
        <f t="shared" si="15"/>
        <v>-0.6020599913279624</v>
      </c>
    </row>
    <row r="29" spans="1:6">
      <c r="A29" s="32" t="str">
        <f t="shared" ref="A29:A30" si="16">A22</f>
        <v>INTERNACIONAL DE ELECTRICOS</v>
      </c>
      <c r="B29" s="32">
        <f t="shared" ref="B29:D30" si="17">LOG(B22)</f>
        <v>-0.71600334363479912</v>
      </c>
      <c r="C29" s="32">
        <f t="shared" si="17"/>
        <v>-0.68124123737558717</v>
      </c>
      <c r="D29" s="32">
        <f t="shared" si="17"/>
        <v>-0.6020599913279624</v>
      </c>
      <c r="E29" s="32">
        <f t="shared" ref="E29:F29" si="18">LOG(E22)</f>
        <v>-0.66900678095857558</v>
      </c>
      <c r="F29" s="32">
        <f t="shared" si="18"/>
        <v>-0.6020599913279624</v>
      </c>
    </row>
    <row r="30" spans="1:6">
      <c r="A30" s="32" t="str">
        <f t="shared" si="16"/>
        <v>ELECTRICOS HR</v>
      </c>
      <c r="B30" s="32">
        <f t="shared" si="17"/>
        <v>-0.63682209758717434</v>
      </c>
      <c r="C30" s="32">
        <f t="shared" si="17"/>
        <v>-0.56729788506875045</v>
      </c>
      <c r="D30" s="32">
        <f t="shared" si="17"/>
        <v>-0.6020599913279624</v>
      </c>
      <c r="E30" s="32">
        <f t="shared" ref="E30:F30" si="19">LOG(E23)</f>
        <v>-0.54406804435027567</v>
      </c>
      <c r="F30" s="32">
        <f t="shared" si="19"/>
        <v>-0.6020599913279624</v>
      </c>
    </row>
    <row r="31" spans="1:6">
      <c r="A31" t="str">
        <f>A24</f>
        <v>SAS</v>
      </c>
      <c r="B31" s="32">
        <f>LOG(B24)</f>
        <v>-0.71600334363479912</v>
      </c>
      <c r="C31" s="32">
        <f t="shared" ref="C31:D31" si="20">LOG(C24)</f>
        <v>-0.68124123737558717</v>
      </c>
      <c r="D31" s="32">
        <f t="shared" si="20"/>
        <v>-0.6020599913279624</v>
      </c>
      <c r="E31" s="32">
        <f>LOG(E24)</f>
        <v>-0.44715803134221921</v>
      </c>
      <c r="F31" s="32">
        <f>LOG(F24)</f>
        <v>-0.6020599913279624</v>
      </c>
    </row>
    <row r="33" spans="1:6">
      <c r="A33" t="s">
        <v>46</v>
      </c>
      <c r="B33">
        <f>1/LOG(4)</f>
        <v>1.6609640474436811</v>
      </c>
    </row>
    <row r="36" spans="1:6">
      <c r="A36" s="32" t="s">
        <v>47</v>
      </c>
      <c r="B36" s="58" t="str">
        <f>B27</f>
        <v>Precio</v>
      </c>
      <c r="C36" s="58" t="str">
        <f t="shared" ref="C36:F36" si="21">C27</f>
        <v>Garantia</v>
      </c>
      <c r="D36" s="58" t="str">
        <f t="shared" si="21"/>
        <v>Concepto area experta</v>
      </c>
      <c r="E36" s="58" t="str">
        <f t="shared" si="21"/>
        <v>Tiempo Entrega</v>
      </c>
      <c r="F36" s="58" t="str">
        <f t="shared" si="21"/>
        <v>Experiencia</v>
      </c>
    </row>
    <row r="37" spans="1:6">
      <c r="A37" s="32" t="str">
        <f>A28</f>
        <v>ELECTROINDUSTRIALES SJ</v>
      </c>
      <c r="B37" s="32">
        <f>B28*B21</f>
        <v>-0.15960513383492997</v>
      </c>
      <c r="C37" s="32">
        <f t="shared" ref="C37:F37" si="22">C28*C21</f>
        <v>-0.1578593682249706</v>
      </c>
      <c r="D37" s="32">
        <f t="shared" si="22"/>
        <v>-0.1505149978319906</v>
      </c>
      <c r="E37" s="32">
        <f t="shared" si="22"/>
        <v>-0.12072829143060811</v>
      </c>
      <c r="F37" s="32">
        <f t="shared" si="22"/>
        <v>-0.1505149978319906</v>
      </c>
    </row>
    <row r="38" spans="1:6">
      <c r="A38" s="32" t="str">
        <f t="shared" ref="A38:A39" si="23">A29</f>
        <v>INTERNACIONAL DE ELECTRICOS</v>
      </c>
      <c r="B38" s="32">
        <f t="shared" ref="B38:F40" si="24">B29*B22</f>
        <v>-0.13769295069899984</v>
      </c>
      <c r="C38" s="32">
        <f t="shared" si="24"/>
        <v>-0.14192525778658066</v>
      </c>
      <c r="D38" s="32">
        <f t="shared" si="24"/>
        <v>-0.1505149978319906</v>
      </c>
      <c r="E38" s="32">
        <f t="shared" si="24"/>
        <v>-0.14335859591969477</v>
      </c>
      <c r="F38" s="32">
        <f t="shared" si="24"/>
        <v>-0.1505149978319906</v>
      </c>
    </row>
    <row r="39" spans="1:6">
      <c r="A39" s="32" t="str">
        <f t="shared" si="23"/>
        <v>ELECTRICOS HR</v>
      </c>
      <c r="B39" s="32">
        <f>B30*B23</f>
        <v>-0.14695894559704023</v>
      </c>
      <c r="C39" s="32">
        <f t="shared" si="24"/>
        <v>-0.15364317720611989</v>
      </c>
      <c r="D39" s="32">
        <f t="shared" si="24"/>
        <v>-0.1505149978319906</v>
      </c>
      <c r="E39" s="32">
        <f t="shared" si="24"/>
        <v>-0.15544801267150732</v>
      </c>
      <c r="F39" s="32">
        <f t="shared" si="24"/>
        <v>-0.1505149978319906</v>
      </c>
    </row>
    <row r="40" spans="1:6">
      <c r="A40" t="str">
        <f>A31</f>
        <v>SAS</v>
      </c>
      <c r="B40" s="32">
        <f>B31*B24</f>
        <v>-0.13769295069899984</v>
      </c>
      <c r="C40" s="32">
        <f t="shared" si="24"/>
        <v>-0.14192525778658066</v>
      </c>
      <c r="D40" s="32">
        <f t="shared" si="24"/>
        <v>-0.1505149978319906</v>
      </c>
      <c r="E40" s="32">
        <f t="shared" si="24"/>
        <v>-0.15969929690793544</v>
      </c>
      <c r="F40" s="32">
        <f t="shared" si="24"/>
        <v>-0.1505149978319906</v>
      </c>
    </row>
    <row r="41" spans="1:6">
      <c r="A41" t="s">
        <v>48</v>
      </c>
      <c r="B41">
        <f>SUM(B37:B40)</f>
        <v>-0.58194998082996996</v>
      </c>
      <c r="C41">
        <f t="shared" ref="C41:F41" si="25">SUM(C37:C40)</f>
        <v>-0.59535306100425189</v>
      </c>
      <c r="D41">
        <f t="shared" si="25"/>
        <v>-0.6020599913279624</v>
      </c>
      <c r="E41">
        <f t="shared" si="25"/>
        <v>-0.57923419692974565</v>
      </c>
      <c r="F41">
        <f t="shared" si="25"/>
        <v>-0.6020599913279624</v>
      </c>
    </row>
    <row r="43" spans="1:6">
      <c r="A43" t="s">
        <v>49</v>
      </c>
      <c r="B43">
        <f>-$B$33*B41</f>
        <v>0.96659799556911952</v>
      </c>
      <c r="C43">
        <f>-$B$33*C41</f>
        <v>0.98886002986360699</v>
      </c>
      <c r="D43">
        <f>-$B$33*D41</f>
        <v>1</v>
      </c>
      <c r="E43">
        <f>-$B$33*E41</f>
        <v>0.96208717615022055</v>
      </c>
      <c r="F43">
        <f>-$B$33*F41</f>
        <v>1</v>
      </c>
    </row>
    <row r="44" spans="1:6">
      <c r="A44" t="s">
        <v>50</v>
      </c>
      <c r="B44">
        <f>1-B43</f>
        <v>3.3402004430880483E-2</v>
      </c>
      <c r="C44">
        <f t="shared" ref="C44:F44" si="26">1-C43</f>
        <v>1.1139970136393007E-2</v>
      </c>
      <c r="D44">
        <f>1-D43</f>
        <v>0</v>
      </c>
      <c r="E44">
        <f t="shared" si="26"/>
        <v>3.7912823849779453E-2</v>
      </c>
      <c r="F44">
        <f t="shared" si="26"/>
        <v>0</v>
      </c>
    </row>
    <row r="46" spans="1:6">
      <c r="B46" t="s">
        <v>55</v>
      </c>
      <c r="C46" t="s">
        <v>56</v>
      </c>
      <c r="E46" t="s">
        <v>54</v>
      </c>
    </row>
    <row r="47" spans="1:6">
      <c r="A47" t="str">
        <f>B36</f>
        <v>Precio</v>
      </c>
      <c r="B47">
        <f>B44/SUM($B$44:$F$44)</f>
        <v>0.40509473156352321</v>
      </c>
      <c r="C47" s="24">
        <f>COMPARATIVO!D59</f>
        <v>0.35</v>
      </c>
      <c r="D47">
        <f>B47*C47</f>
        <v>0.14178315604723313</v>
      </c>
      <c r="E47" s="60">
        <f>D47/SUM($D$47:$D$51)</f>
        <v>0.63999105544816937</v>
      </c>
    </row>
    <row r="48" spans="1:6">
      <c r="A48" t="str">
        <f>C36</f>
        <v>Garantia</v>
      </c>
      <c r="B48">
        <f>C44/SUM($B$44:$F$44)</f>
        <v>0.13510396423562279</v>
      </c>
      <c r="C48" s="24">
        <f>COMPARATIVO!D61</f>
        <v>0.25</v>
      </c>
      <c r="D48">
        <f t="shared" ref="D48:D51" si="27">B48*C48</f>
        <v>3.3775991058905698E-2</v>
      </c>
      <c r="E48" s="60">
        <f t="shared" ref="E48:E51" si="28">D48/SUM($D$47:$D$51)</f>
        <v>0.15246050919755094</v>
      </c>
    </row>
    <row r="49" spans="1:6">
      <c r="A49" t="str">
        <f>D36</f>
        <v>Concepto area experta</v>
      </c>
      <c r="B49">
        <f>D44/SUM($B$44:$F$44)</f>
        <v>0</v>
      </c>
      <c r="C49" s="24">
        <f>COMPARATIVO!D62</f>
        <v>0.25</v>
      </c>
      <c r="D49">
        <f t="shared" si="27"/>
        <v>0</v>
      </c>
      <c r="E49" s="60">
        <f t="shared" si="28"/>
        <v>0</v>
      </c>
    </row>
    <row r="50" spans="1:6">
      <c r="A50" t="str">
        <f>E36</f>
        <v>Tiempo Entrega</v>
      </c>
      <c r="B50">
        <f>E44/SUM($B$44:$F$44)</f>
        <v>0.45980130420085397</v>
      </c>
      <c r="C50" s="24">
        <f>COMPARATIVO!D63</f>
        <v>0.1</v>
      </c>
      <c r="D50">
        <f t="shared" si="27"/>
        <v>4.5980130420085398E-2</v>
      </c>
      <c r="E50" s="60">
        <f t="shared" si="28"/>
        <v>0.2075484353542798</v>
      </c>
    </row>
    <row r="51" spans="1:6">
      <c r="A51" t="str">
        <f>F36</f>
        <v>Experiencia</v>
      </c>
      <c r="B51">
        <f>F44/SUM($B$44:$F$44)</f>
        <v>0</v>
      </c>
      <c r="C51" s="24">
        <f>COMPARATIVO!D60</f>
        <v>0.05</v>
      </c>
      <c r="D51">
        <f t="shared" si="27"/>
        <v>0</v>
      </c>
      <c r="E51" s="98">
        <f t="shared" si="28"/>
        <v>0</v>
      </c>
    </row>
    <row r="59" spans="1:6">
      <c r="A59" s="32"/>
      <c r="B59" s="58" t="str">
        <f>B3</f>
        <v>Precio</v>
      </c>
      <c r="C59" s="58" t="str">
        <f t="shared" ref="C59:F59" si="29">C3</f>
        <v>Garantia</v>
      </c>
      <c r="D59" s="58" t="str">
        <f t="shared" si="29"/>
        <v>Concepto area experta</v>
      </c>
      <c r="E59" s="58" t="str">
        <f t="shared" si="29"/>
        <v>Tiempo Entrega</v>
      </c>
      <c r="F59" s="58" t="str">
        <f t="shared" si="29"/>
        <v>Experiencia</v>
      </c>
    </row>
    <row r="60" spans="1:6">
      <c r="A60" s="32" t="str">
        <f>A4</f>
        <v>ELECTROINDUSTRIALES SJ</v>
      </c>
      <c r="B60" s="95">
        <f>B4</f>
        <v>59500</v>
      </c>
      <c r="C60" s="95">
        <f>C4</f>
        <v>15</v>
      </c>
      <c r="D60" s="32">
        <f>D4</f>
        <v>0.25</v>
      </c>
      <c r="E60" s="32">
        <f t="shared" ref="E60:F60" si="30">E4</f>
        <v>10</v>
      </c>
      <c r="F60" s="32">
        <f t="shared" si="30"/>
        <v>0</v>
      </c>
    </row>
    <row r="61" spans="1:6">
      <c r="A61" s="32" t="str">
        <f t="shared" ref="A61:F62" si="31">A5</f>
        <v>INTERNACIONAL DE ELECTRICOS</v>
      </c>
      <c r="B61" s="32">
        <f>B5</f>
        <v>29750</v>
      </c>
      <c r="C61" s="32">
        <f t="shared" si="31"/>
        <v>10</v>
      </c>
      <c r="D61" s="32">
        <f t="shared" si="31"/>
        <v>0.25</v>
      </c>
      <c r="E61" s="32">
        <f t="shared" si="31"/>
        <v>15</v>
      </c>
      <c r="F61" s="32">
        <f t="shared" si="31"/>
        <v>0</v>
      </c>
    </row>
    <row r="62" spans="1:6">
      <c r="A62" s="32" t="str">
        <f t="shared" si="31"/>
        <v>ELECTRICOS HR</v>
      </c>
      <c r="B62" s="32">
        <f t="shared" si="31"/>
        <v>35700</v>
      </c>
      <c r="C62" s="32">
        <f t="shared" si="31"/>
        <v>13</v>
      </c>
      <c r="D62" s="32">
        <f t="shared" si="31"/>
        <v>0.25</v>
      </c>
      <c r="E62" s="32">
        <f t="shared" si="31"/>
        <v>20</v>
      </c>
      <c r="F62" s="32">
        <f t="shared" si="31"/>
        <v>0</v>
      </c>
    </row>
    <row r="63" spans="1:6">
      <c r="A63" s="32" t="str">
        <f>A7</f>
        <v>SAS</v>
      </c>
      <c r="B63" s="32">
        <f t="shared" ref="B63:F63" si="32">B7</f>
        <v>29750</v>
      </c>
      <c r="C63" s="32">
        <f t="shared" si="32"/>
        <v>10</v>
      </c>
      <c r="D63" s="32">
        <f t="shared" si="32"/>
        <v>0.25</v>
      </c>
      <c r="E63" s="32">
        <f t="shared" si="32"/>
        <v>25</v>
      </c>
      <c r="F63" s="32">
        <f t="shared" si="32"/>
        <v>0</v>
      </c>
    </row>
    <row r="66" spans="1:6">
      <c r="A66" s="32"/>
      <c r="B66" s="58" t="str">
        <f>B59</f>
        <v>Precio</v>
      </c>
      <c r="C66" s="58" t="str">
        <f t="shared" ref="C66:F66" si="33">C59</f>
        <v>Garantia</v>
      </c>
      <c r="D66" s="58" t="str">
        <f t="shared" si="33"/>
        <v>Concepto area experta</v>
      </c>
      <c r="E66" s="58" t="str">
        <f t="shared" si="33"/>
        <v>Tiempo Entrega</v>
      </c>
      <c r="F66" s="58" t="str">
        <f t="shared" si="33"/>
        <v>Experiencia</v>
      </c>
    </row>
    <row r="67" spans="1:6">
      <c r="A67" s="32" t="str">
        <f>A60</f>
        <v>ELECTROINDUSTRIALES SJ</v>
      </c>
      <c r="B67" s="32">
        <f>IF(B62=B63,B60+0.0000000001,B60)</f>
        <v>59500</v>
      </c>
      <c r="C67" s="32">
        <f t="shared" ref="C67:F67" si="34">IF(C62=C63,C60+0.0000000001,C60)</f>
        <v>15</v>
      </c>
      <c r="D67" s="32">
        <f t="shared" si="34"/>
        <v>0.25000000010000001</v>
      </c>
      <c r="E67" s="32">
        <f t="shared" si="34"/>
        <v>10</v>
      </c>
      <c r="F67" s="32">
        <f t="shared" si="34"/>
        <v>1E-10</v>
      </c>
    </row>
    <row r="68" spans="1:6">
      <c r="A68" s="32" t="str">
        <f t="shared" ref="A68:A69" si="35">A61</f>
        <v>INTERNACIONAL DE ELECTRICOS</v>
      </c>
      <c r="B68" s="32">
        <f>B61</f>
        <v>29750</v>
      </c>
      <c r="C68" s="32">
        <f t="shared" ref="C68:F68" si="36">C61</f>
        <v>10</v>
      </c>
      <c r="D68" s="32">
        <f t="shared" si="36"/>
        <v>0.25</v>
      </c>
      <c r="E68" s="32">
        <f t="shared" si="36"/>
        <v>15</v>
      </c>
      <c r="F68" s="32">
        <f t="shared" si="36"/>
        <v>0</v>
      </c>
    </row>
    <row r="69" spans="1:6">
      <c r="A69" s="32" t="str">
        <f t="shared" si="35"/>
        <v>ELECTRICOS HR</v>
      </c>
      <c r="B69" s="32">
        <f>B62</f>
        <v>35700</v>
      </c>
      <c r="C69" s="32">
        <f t="shared" ref="C69:F69" si="37">C62</f>
        <v>13</v>
      </c>
      <c r="D69" s="32">
        <f t="shared" si="37"/>
        <v>0.25</v>
      </c>
      <c r="E69" s="32">
        <f t="shared" si="37"/>
        <v>20</v>
      </c>
      <c r="F69" s="32">
        <f t="shared" si="37"/>
        <v>0</v>
      </c>
    </row>
    <row r="70" spans="1:6">
      <c r="A70" s="32" t="str">
        <f>A63</f>
        <v>SAS</v>
      </c>
      <c r="B70" s="32">
        <f t="shared" ref="B70:F70" si="38">B63</f>
        <v>29750</v>
      </c>
      <c r="C70" s="32">
        <f t="shared" si="38"/>
        <v>10</v>
      </c>
      <c r="D70" s="32">
        <f t="shared" si="38"/>
        <v>0.25</v>
      </c>
      <c r="E70" s="32">
        <f t="shared" si="38"/>
        <v>25</v>
      </c>
      <c r="F70" s="32">
        <f t="shared" si="38"/>
        <v>0</v>
      </c>
    </row>
    <row r="71" spans="1:6">
      <c r="A71" t="s">
        <v>51</v>
      </c>
      <c r="B71">
        <f>MAX(B67:B70)+0.000001</f>
        <v>59500.000001</v>
      </c>
      <c r="E71">
        <f>MAX(E67:E70)+0.000001</f>
        <v>25.000001000000001</v>
      </c>
    </row>
    <row r="74" spans="1:6">
      <c r="A74" s="32"/>
      <c r="B74" s="58" t="str">
        <f>B66</f>
        <v>Precio</v>
      </c>
      <c r="C74" s="58" t="str">
        <f t="shared" ref="C74:F74" si="39">C66</f>
        <v>Garantia</v>
      </c>
      <c r="D74" s="58" t="str">
        <f t="shared" si="39"/>
        <v>Concepto area experta</v>
      </c>
      <c r="E74" s="58" t="str">
        <f t="shared" si="39"/>
        <v>Tiempo Entrega</v>
      </c>
      <c r="F74" s="58" t="str">
        <f t="shared" si="39"/>
        <v>Experiencia</v>
      </c>
    </row>
    <row r="75" spans="1:6">
      <c r="A75" s="32" t="str">
        <f>A67</f>
        <v>ELECTROINDUSTRIALES SJ</v>
      </c>
      <c r="B75" s="32">
        <f>$B$71-B67</f>
        <v>1.0000003385357559E-6</v>
      </c>
      <c r="C75" s="32">
        <f>C67</f>
        <v>15</v>
      </c>
      <c r="D75" s="32">
        <f>D67</f>
        <v>0.25000000010000001</v>
      </c>
      <c r="E75" s="32">
        <f>$E$71-E67</f>
        <v>15.000001000000001</v>
      </c>
      <c r="F75" s="32">
        <f>F67</f>
        <v>1E-10</v>
      </c>
    </row>
    <row r="76" spans="1:6">
      <c r="A76" s="32" t="str">
        <f t="shared" ref="A76:A77" si="40">A68</f>
        <v>INTERNACIONAL DE ELECTRICOS</v>
      </c>
      <c r="B76" s="32">
        <f t="shared" ref="B76:B77" si="41">$B$71-B68</f>
        <v>29750.000001</v>
      </c>
      <c r="C76" s="32">
        <f t="shared" ref="C76:D77" si="42">C68</f>
        <v>10</v>
      </c>
      <c r="D76" s="32">
        <f t="shared" si="42"/>
        <v>0.25</v>
      </c>
      <c r="E76" s="32">
        <f t="shared" ref="E76:E78" si="43">$E$71-E68</f>
        <v>10.000001000000001</v>
      </c>
      <c r="F76" s="32">
        <f t="shared" ref="F76:F78" si="44">F68</f>
        <v>0</v>
      </c>
    </row>
    <row r="77" spans="1:6">
      <c r="A77" s="32" t="str">
        <f t="shared" si="40"/>
        <v>ELECTRICOS HR</v>
      </c>
      <c r="B77" s="32">
        <f t="shared" si="41"/>
        <v>23800.000001</v>
      </c>
      <c r="C77" s="32">
        <f t="shared" si="42"/>
        <v>13</v>
      </c>
      <c r="D77" s="32">
        <f t="shared" si="42"/>
        <v>0.25</v>
      </c>
      <c r="E77" s="32">
        <f t="shared" si="43"/>
        <v>5.000001000000001</v>
      </c>
      <c r="F77" s="32">
        <f t="shared" si="44"/>
        <v>0</v>
      </c>
    </row>
    <row r="78" spans="1:6">
      <c r="A78" t="str">
        <f>A70</f>
        <v>SAS</v>
      </c>
      <c r="B78" s="32">
        <f>$B$71-B70</f>
        <v>29750.000001</v>
      </c>
      <c r="C78" s="32">
        <f t="shared" ref="C78:D78" si="45">C70</f>
        <v>10</v>
      </c>
      <c r="D78" s="32">
        <f t="shared" si="45"/>
        <v>0.25</v>
      </c>
      <c r="E78" s="32">
        <f t="shared" si="43"/>
        <v>1.0000000010279564E-6</v>
      </c>
      <c r="F78" s="32">
        <f t="shared" si="44"/>
        <v>0</v>
      </c>
    </row>
    <row r="79" spans="1:6">
      <c r="D79" s="99"/>
    </row>
    <row r="81" spans="1:11">
      <c r="A81" s="32"/>
      <c r="B81" s="58" t="str">
        <f>B74</f>
        <v>Precio</v>
      </c>
      <c r="C81" s="58" t="str">
        <f t="shared" ref="C81:F81" si="46">C74</f>
        <v>Garantia</v>
      </c>
      <c r="D81" s="58" t="str">
        <f t="shared" si="46"/>
        <v>Concepto area experta</v>
      </c>
      <c r="E81" s="58" t="str">
        <f t="shared" si="46"/>
        <v>Tiempo Entrega</v>
      </c>
      <c r="F81" s="58" t="str">
        <f t="shared" si="46"/>
        <v>Experiencia</v>
      </c>
    </row>
    <row r="82" spans="1:11">
      <c r="A82" s="32" t="str">
        <f>A75</f>
        <v>ELECTROINDUSTRIALES SJ</v>
      </c>
      <c r="B82" s="32">
        <f>B75/SUM($B$75:$B$78)</f>
        <v>1.2004805984246538E-11</v>
      </c>
      <c r="C82" s="32">
        <f>C75/SUM($C$75:$C$78)</f>
        <v>0.3125</v>
      </c>
      <c r="D82" s="32">
        <f>D75/SUM($D$75:$D$78)</f>
        <v>0.25000000007500001</v>
      </c>
      <c r="E82" s="32">
        <f>E75/SUM($E$75:$E$78)</f>
        <v>0.49999996666667107</v>
      </c>
      <c r="F82" s="32">
        <f>F75/SUM($F$75:$F$78)</f>
        <v>1</v>
      </c>
    </row>
    <row r="83" spans="1:11">
      <c r="A83" s="32" t="str">
        <f t="shared" ref="A83:A84" si="47">A76</f>
        <v>INTERNACIONAL DE ELECTRICOS</v>
      </c>
      <c r="B83" s="32">
        <f t="shared" ref="B83:B84" si="48">B76/SUM($B$75:$B$78)</f>
        <v>0.35714285713771221</v>
      </c>
      <c r="C83" s="32">
        <f t="shared" ref="C83:C85" si="49">C76/SUM($C$75:$C$78)</f>
        <v>0.20833333333333334</v>
      </c>
      <c r="D83" s="32">
        <f t="shared" ref="D83:D85" si="50">D76/SUM($D$75:$D$78)</f>
        <v>0.249999999975</v>
      </c>
      <c r="E83" s="32">
        <f t="shared" ref="E83:E85" si="51">E76/SUM($E$75:$E$78)</f>
        <v>0.33333332222222367</v>
      </c>
      <c r="F83" s="32">
        <f t="shared" ref="F83:F85" si="52">F76/SUM($F$75:$F$78)</f>
        <v>0</v>
      </c>
    </row>
    <row r="84" spans="1:11">
      <c r="A84" s="32" t="str">
        <f t="shared" si="47"/>
        <v>ELECTRICOS HR</v>
      </c>
      <c r="B84" s="32">
        <f t="shared" si="48"/>
        <v>0.28571428571257074</v>
      </c>
      <c r="C84" s="32">
        <f t="shared" si="49"/>
        <v>0.27083333333333331</v>
      </c>
      <c r="D84" s="32">
        <f t="shared" si="50"/>
        <v>0.249999999975</v>
      </c>
      <c r="E84" s="32">
        <f t="shared" si="51"/>
        <v>0.1666666777777763</v>
      </c>
      <c r="F84" s="32">
        <f t="shared" si="52"/>
        <v>0</v>
      </c>
    </row>
    <row r="85" spans="1:11">
      <c r="A85" s="32" t="str">
        <f>A78</f>
        <v>SAS</v>
      </c>
      <c r="B85" s="32">
        <f>B78/SUM($B$75:$B$78)</f>
        <v>0.35714285713771221</v>
      </c>
      <c r="C85" s="32">
        <f t="shared" si="49"/>
        <v>0.20833333333333334</v>
      </c>
      <c r="D85" s="32">
        <f t="shared" si="50"/>
        <v>0.249999999975</v>
      </c>
      <c r="E85" s="32">
        <f t="shared" si="51"/>
        <v>3.3333328923154683E-8</v>
      </c>
      <c r="F85" s="32">
        <f t="shared" si="52"/>
        <v>0</v>
      </c>
    </row>
    <row r="86" spans="1:11">
      <c r="A86" t="s">
        <v>52</v>
      </c>
      <c r="B86">
        <f>MAX(B82:B85)</f>
        <v>0.35714285713771221</v>
      </c>
      <c r="C86">
        <f>MAX(C82:C85)</f>
        <v>0.3125</v>
      </c>
      <c r="D86">
        <f>MAX(D82:D85)</f>
        <v>0.25000000007500001</v>
      </c>
      <c r="E86">
        <f>MAX(E82:E85)</f>
        <v>0.49999996666667107</v>
      </c>
      <c r="F86">
        <f>MAX(F82:F85)</f>
        <v>1</v>
      </c>
    </row>
    <row r="87" spans="1:11">
      <c r="A87" t="s">
        <v>53</v>
      </c>
      <c r="B87">
        <f>MIN(B82:B85)</f>
        <v>1.2004805984246538E-11</v>
      </c>
      <c r="C87">
        <f>MIN(C82:C85)</f>
        <v>0.20833333333333334</v>
      </c>
      <c r="D87">
        <f>MIN(D82:D85)</f>
        <v>0.249999999975</v>
      </c>
      <c r="E87">
        <f>MIN(E82:E85)</f>
        <v>3.3333328923154683E-8</v>
      </c>
      <c r="F87">
        <f>MIN(F82:F85)</f>
        <v>0</v>
      </c>
    </row>
    <row r="88" spans="1:11">
      <c r="A88" t="s">
        <v>54</v>
      </c>
      <c r="B88" s="59">
        <f>E47</f>
        <v>0.63999105544816937</v>
      </c>
      <c r="C88" s="59">
        <f>E48</f>
        <v>0.15246050919755094</v>
      </c>
      <c r="D88" s="59">
        <f>E49</f>
        <v>0</v>
      </c>
      <c r="E88" s="59">
        <f>E50</f>
        <v>0.2075484353542798</v>
      </c>
      <c r="F88" s="59">
        <f>E51</f>
        <v>0</v>
      </c>
    </row>
    <row r="92" spans="1:11">
      <c r="A92" s="32"/>
      <c r="B92" s="58" t="str">
        <f>B81</f>
        <v>Precio</v>
      </c>
      <c r="C92" s="58" t="str">
        <f t="shared" ref="C92:F92" si="53">C81</f>
        <v>Garantia</v>
      </c>
      <c r="D92" s="58" t="str">
        <f t="shared" si="53"/>
        <v>Concepto area experta</v>
      </c>
      <c r="E92" s="58" t="str">
        <f t="shared" si="53"/>
        <v>Tiempo Entrega</v>
      </c>
      <c r="F92" s="58" t="str">
        <f t="shared" si="53"/>
        <v>Experiencia</v>
      </c>
      <c r="G92" t="s">
        <v>57</v>
      </c>
      <c r="H92" t="s">
        <v>58</v>
      </c>
      <c r="I92" t="s">
        <v>61</v>
      </c>
    </row>
    <row r="93" spans="1:11">
      <c r="A93" s="32" t="str">
        <f>A82</f>
        <v>ELECTROINDUSTRIALES SJ</v>
      </c>
      <c r="B93" s="32">
        <f>$B$88*($B$86-B82)/($B$86-$B$87)</f>
        <v>0.63999105544816937</v>
      </c>
      <c r="C93" s="32">
        <f>$C$88*($C$86-C82)/($C$86-$C$87)</f>
        <v>0</v>
      </c>
      <c r="D93" s="32">
        <f>$D$88*($D$86-D82)/($D$86-$D$87)</f>
        <v>0</v>
      </c>
      <c r="E93" s="32">
        <f>E88*($E$86-E82)/($E$86-$E$87)</f>
        <v>0</v>
      </c>
      <c r="F93" s="32">
        <f>$F$88*($F$86-F82)/($F$86-$F$87)</f>
        <v>0</v>
      </c>
      <c r="G93">
        <f>SUM(B93:F93)</f>
        <v>0.63999105544816937</v>
      </c>
      <c r="H93">
        <f>MAX(B93:F93)</f>
        <v>0.63999105544816937</v>
      </c>
      <c r="I93">
        <f>0.5*((G93-$G$99)/($G$100-$G$99))+0.5*((H93-$H$99)/($H$100-$H$99))</f>
        <v>1</v>
      </c>
      <c r="J93">
        <f>$I$99-I93</f>
        <v>1.0000000000065512E-5</v>
      </c>
      <c r="K93" s="61">
        <f>J93/SUM($J$93:$J$96)</f>
        <v>3.4307607771764439E-6</v>
      </c>
    </row>
    <row r="94" spans="1:11">
      <c r="A94" s="32" t="str">
        <f t="shared" ref="A94:A95" si="54">A83</f>
        <v>INTERNACIONAL DE ELECTRICOS</v>
      </c>
      <c r="B94" s="32">
        <f t="shared" ref="B94:B95" si="55">$B$88*($B$86-B83)/($B$86-$B$87)</f>
        <v>0</v>
      </c>
      <c r="C94" s="32">
        <f t="shared" ref="C94:C96" si="56">$C$88*($C$86-C83)/($C$86-$C$87)</f>
        <v>0.15246050919755094</v>
      </c>
      <c r="D94" s="32">
        <f t="shared" ref="D94:D95" si="57">$D$88*($D$86-D83)/($D$86-$D$87)</f>
        <v>0</v>
      </c>
      <c r="E94" s="32">
        <f t="shared" ref="E94:E96" si="58">E89*($E$86-E83)/($E$86-$E$87)</f>
        <v>0</v>
      </c>
      <c r="F94" s="32">
        <f t="shared" ref="F94:F95" si="59">$F$88*($F$86-F83)/($F$86-$F$87)</f>
        <v>0</v>
      </c>
      <c r="G94">
        <f t="shared" ref="G94:G95" si="60">SUM(B94:F94)</f>
        <v>0.15246050919755094</v>
      </c>
      <c r="H94">
        <f t="shared" ref="H94:H96" si="61">MAX(B94:F94)</f>
        <v>0.15246050919755094</v>
      </c>
      <c r="I94">
        <f>0.5*((G94-$G$99)/($G$100-$G$99))+0.5*((H94-$H$99)/($H$100-$H$99))</f>
        <v>2.3889296869534726E-2</v>
      </c>
      <c r="J94">
        <f>$I$99-I94</f>
        <v>0.97612070313046528</v>
      </c>
      <c r="K94" s="61">
        <f t="shared" ref="K94:K96" si="62">J94/SUM($J$93:$J$96)</f>
        <v>0.33488366220679533</v>
      </c>
    </row>
    <row r="95" spans="1:11">
      <c r="A95" s="32" t="str">
        <f t="shared" si="54"/>
        <v>ELECTRICOS HR</v>
      </c>
      <c r="B95" s="32">
        <f t="shared" si="55"/>
        <v>0.12799821108963386</v>
      </c>
      <c r="C95" s="32">
        <f t="shared" si="56"/>
        <v>6.098420367902041E-2</v>
      </c>
      <c r="D95" s="32">
        <f t="shared" si="57"/>
        <v>0</v>
      </c>
      <c r="E95" s="32">
        <f t="shared" si="58"/>
        <v>0</v>
      </c>
      <c r="F95" s="32">
        <f t="shared" si="59"/>
        <v>0</v>
      </c>
      <c r="G95">
        <f t="shared" si="60"/>
        <v>0.18898241476865427</v>
      </c>
      <c r="H95">
        <f t="shared" si="61"/>
        <v>0.12799821108963386</v>
      </c>
      <c r="I95">
        <f>0.5*((G95-$G$99)/($G$100-$G$99))+0.5*((H95-$H$99)/($H$100-$H$99))</f>
        <v>3.7456017732608891E-2</v>
      </c>
      <c r="J95">
        <f>$I$99-I95</f>
        <v>0.96255398226739119</v>
      </c>
      <c r="K95" s="61">
        <f t="shared" si="62"/>
        <v>0.33022924482563221</v>
      </c>
    </row>
    <row r="96" spans="1:11">
      <c r="A96" s="32" t="str">
        <f>A85</f>
        <v>SAS</v>
      </c>
      <c r="B96" s="32">
        <f>$B$88*($B$86-B85)/($B$86-$B$87)</f>
        <v>0</v>
      </c>
      <c r="C96" s="32">
        <f t="shared" si="56"/>
        <v>0.15246050919755094</v>
      </c>
      <c r="D96" s="32">
        <f>$D$88*($D$86-D85)/($D$86-$D$87)</f>
        <v>0</v>
      </c>
      <c r="E96" s="32">
        <f t="shared" si="58"/>
        <v>0</v>
      </c>
      <c r="F96" s="32">
        <f>$F$88*($F$86-F85)/($F$86-$F$87)</f>
        <v>0</v>
      </c>
      <c r="G96">
        <f>SUM(B96:F96)</f>
        <v>0.15246050919755094</v>
      </c>
      <c r="H96">
        <f t="shared" si="61"/>
        <v>0.15246050919755094</v>
      </c>
      <c r="I96">
        <f>0.5*((G96-$G$99)/($G$100-$G$99))+0.5*((H96-$H$99)/($H$100-$H$99))</f>
        <v>2.3889296869534726E-2</v>
      </c>
      <c r="J96">
        <f>$I$99-I96</f>
        <v>0.97612070313046528</v>
      </c>
      <c r="K96" s="61">
        <f t="shared" si="62"/>
        <v>0.33488366220679533</v>
      </c>
    </row>
    <row r="99" spans="6:10">
      <c r="F99" t="s">
        <v>59</v>
      </c>
      <c r="G99">
        <f>MIN(G93:G96)</f>
        <v>0.15246050919755094</v>
      </c>
      <c r="H99">
        <f>MIN(H93:H96)</f>
        <v>0.12799821108963386</v>
      </c>
      <c r="I99">
        <f>MAX(I93:I96)+0.00001</f>
        <v>1.0000100000000001</v>
      </c>
    </row>
    <row r="100" spans="6:10">
      <c r="F100" t="s">
        <v>60</v>
      </c>
      <c r="G100">
        <f>MAX(G93:G96)</f>
        <v>0.63999105544816937</v>
      </c>
      <c r="H100">
        <f>MAX(H93:H96)</f>
        <v>0.63999105544816937</v>
      </c>
    </row>
    <row r="102" spans="6:10">
      <c r="J102">
        <f>1/3</f>
        <v>0.33333333333333331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Concepto área solicitante </vt:lpstr>
      <vt:lpstr>COMPARATIVO</vt:lpstr>
      <vt:lpstr>Hoja1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Julieth Jimenez</dc:creator>
  <cp:lastModifiedBy>CASA</cp:lastModifiedBy>
  <cp:lastPrinted>2018-06-28T20:12:45Z</cp:lastPrinted>
  <dcterms:created xsi:type="dcterms:W3CDTF">2014-05-16T19:59:00Z</dcterms:created>
  <dcterms:modified xsi:type="dcterms:W3CDTF">2019-05-12T15:21:48Z</dcterms:modified>
</cp:coreProperties>
</file>